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R:\CEO\_Cierres Mes &amp; Strategy\2019\0.Closing Audietd 2018 (MAB)\"/>
    </mc:Choice>
  </mc:AlternateContent>
  <xr:revisionPtr revIDLastSave="0" documentId="13_ncr:1_{5D82DD3C-F596-43B3-963F-D8CD1ADAE961}" xr6:coauthVersionLast="43" xr6:coauthVersionMax="43" xr10:uidLastSave="{00000000-0000-0000-0000-000000000000}"/>
  <bookViews>
    <workbookView xWindow="-120" yWindow="-120" windowWidth="21840" windowHeight="13140" activeTab="2" xr2:uid="{00000000-000D-0000-FFFF-FFFF00000000}"/>
  </bookViews>
  <sheets>
    <sheet name="BS Consolidado" sheetId="5" r:id="rId1"/>
    <sheet name="PyG Consolidado" sheetId="6" r:id="rId2"/>
    <sheet name="PyG Negocio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7" l="1"/>
  <c r="C123" i="5" l="1"/>
  <c r="C122" i="5"/>
  <c r="C121" i="5"/>
  <c r="C120" i="5"/>
  <c r="E117" i="5" l="1"/>
  <c r="C117" i="5"/>
  <c r="E116" i="5" l="1"/>
  <c r="C116" i="5"/>
  <c r="E114" i="5" l="1"/>
  <c r="C114" i="5"/>
  <c r="D12" i="7" l="1"/>
  <c r="C12" i="7"/>
  <c r="E84" i="5" l="1"/>
  <c r="D31" i="7" l="1"/>
  <c r="D28" i="7"/>
  <c r="D27" i="7"/>
  <c r="D15" i="7"/>
  <c r="D19" i="7" s="1"/>
  <c r="D9" i="7"/>
  <c r="D8" i="7"/>
  <c r="D7" i="7"/>
  <c r="D6" i="7"/>
  <c r="C20" i="7"/>
  <c r="C24" i="7" s="1"/>
  <c r="C28" i="6"/>
  <c r="E18" i="6"/>
  <c r="E28" i="6" s="1"/>
  <c r="E38" i="6"/>
  <c r="D30" i="7" s="1"/>
  <c r="C84" i="5"/>
  <c r="C82" i="5" s="1"/>
  <c r="C71" i="5"/>
  <c r="C68" i="5"/>
  <c r="C59" i="5" s="1"/>
  <c r="E34" i="5"/>
  <c r="C34" i="5"/>
  <c r="E100" i="5"/>
  <c r="E95" i="5"/>
  <c r="E82" i="5"/>
  <c r="E77" i="5"/>
  <c r="E74" i="5"/>
  <c r="E69" i="5"/>
  <c r="E68" i="5" s="1"/>
  <c r="E59" i="5" s="1"/>
  <c r="E48" i="5"/>
  <c r="E41" i="5"/>
  <c r="E31" i="5"/>
  <c r="E23" i="5"/>
  <c r="E17" i="5"/>
  <c r="E16" i="5"/>
  <c r="E13" i="5"/>
  <c r="E12" i="5"/>
  <c r="E112" i="5" l="1"/>
  <c r="D16" i="7"/>
  <c r="E40" i="6"/>
  <c r="E45" i="6" s="1"/>
  <c r="D10" i="7"/>
  <c r="D13" i="7"/>
  <c r="D14" i="7" s="1"/>
  <c r="E57" i="5"/>
  <c r="E111" i="5" s="1"/>
  <c r="E9" i="5"/>
  <c r="E7" i="5" s="1"/>
  <c r="E93" i="5"/>
  <c r="E29" i="5"/>
  <c r="D21" i="7" l="1"/>
  <c r="D24" i="7"/>
  <c r="D25" i="7"/>
  <c r="D37" i="7" s="1"/>
  <c r="E113" i="5" s="1"/>
  <c r="E108" i="5"/>
  <c r="E94" i="5" s="1"/>
  <c r="E58" i="5"/>
  <c r="E83" i="5"/>
  <c r="E52" i="5"/>
  <c r="E8" i="5" s="1"/>
  <c r="D29" i="7" l="1"/>
  <c r="D32" i="7" s="1"/>
  <c r="D34" i="7" s="1"/>
  <c r="D26" i="7"/>
  <c r="E30" i="5"/>
  <c r="C31" i="5" l="1"/>
  <c r="C9" i="5"/>
  <c r="C16" i="5"/>
  <c r="C23" i="5"/>
  <c r="C41" i="5"/>
  <c r="C77" i="5"/>
  <c r="C95" i="5"/>
  <c r="C112" i="5" s="1"/>
  <c r="C100" i="5"/>
  <c r="C93" i="5" l="1"/>
  <c r="C57" i="5"/>
  <c r="C29" i="5"/>
  <c r="C7" i="5"/>
  <c r="C111" i="5" l="1"/>
  <c r="C108" i="5"/>
  <c r="C94" i="5" s="1"/>
  <c r="C52" i="5"/>
  <c r="C8" i="5" s="1"/>
  <c r="C30" i="5" l="1"/>
  <c r="C83" i="5"/>
  <c r="C58" i="5"/>
  <c r="C38" i="6" l="1"/>
  <c r="C40" i="6" l="1"/>
  <c r="C45" i="6" s="1"/>
  <c r="C31" i="7" l="1"/>
  <c r="C30" i="7"/>
  <c r="E30" i="7" s="1"/>
  <c r="C28" i="7"/>
  <c r="C27" i="7"/>
  <c r="E27" i="7" s="1"/>
  <c r="E20" i="7"/>
  <c r="C15" i="7"/>
  <c r="C19" i="7" s="1"/>
  <c r="C9" i="7"/>
  <c r="E9" i="7" s="1"/>
  <c r="C8" i="7"/>
  <c r="C7" i="7"/>
  <c r="C6" i="7"/>
  <c r="C21" i="7" s="1"/>
  <c r="E8" i="7" l="1"/>
  <c r="E6" i="7"/>
  <c r="E15" i="7"/>
  <c r="C16" i="7"/>
  <c r="C10" i="7"/>
  <c r="C13" i="7"/>
  <c r="C25" i="7" s="1"/>
  <c r="C37" i="7" s="1"/>
  <c r="C113" i="5" l="1"/>
  <c r="E13" i="7"/>
  <c r="C14" i="7"/>
  <c r="C26" i="7" l="1"/>
  <c r="C29" i="7"/>
  <c r="E29" i="7" s="1"/>
  <c r="E25" i="7"/>
  <c r="C32" i="7" l="1"/>
  <c r="E32" i="7" l="1"/>
  <c r="C34" i="7"/>
  <c r="E34" i="7" s="1"/>
</calcChain>
</file>

<file path=xl/sharedStrings.xml><?xml version="1.0" encoding="utf-8"?>
<sst xmlns="http://schemas.openxmlformats.org/spreadsheetml/2006/main" count="156" uniqueCount="129">
  <si>
    <t>(Expresados en euros)</t>
  </si>
  <si>
    <t>ACTIVO</t>
  </si>
  <si>
    <t>ACTIVO NO CORRIENTE</t>
  </si>
  <si>
    <t>Desarrollo</t>
  </si>
  <si>
    <t>Aplicaciones informáticas</t>
  </si>
  <si>
    <t>Otro inmovilizado intangible</t>
  </si>
  <si>
    <t xml:space="preserve">Inmovilizado material </t>
  </si>
  <si>
    <t>Instalaciones técnicas y otro inmovilizado material</t>
  </si>
  <si>
    <t>Derivados</t>
  </si>
  <si>
    <t>Otros activos financieros</t>
  </si>
  <si>
    <t>Instrumentos de patrimonio</t>
  </si>
  <si>
    <t xml:space="preserve">ACTIVO CORRIENTE </t>
  </si>
  <si>
    <t xml:space="preserve">Existencias </t>
  </si>
  <si>
    <t>Comerciales</t>
  </si>
  <si>
    <t>Clientes empresas del grupo y asociadas</t>
  </si>
  <si>
    <t>Personal</t>
  </si>
  <si>
    <t>Activos por impuesto corriente</t>
  </si>
  <si>
    <t xml:space="preserve">Inversiones financieras a corto plazo </t>
  </si>
  <si>
    <t xml:space="preserve">TOTAL ACTIVO </t>
  </si>
  <si>
    <t>PATRIMONIO NETO Y PASIVO</t>
  </si>
  <si>
    <t xml:space="preserve">PATRIMONIO NETO </t>
  </si>
  <si>
    <t xml:space="preserve">Fondos propios </t>
  </si>
  <si>
    <t>Capital</t>
  </si>
  <si>
    <t>Capital escriturado</t>
  </si>
  <si>
    <t>Prima de emisión</t>
  </si>
  <si>
    <t>Reservas</t>
  </si>
  <si>
    <t>Otras Reservas</t>
  </si>
  <si>
    <t>Resultados de ejercicios anteriores</t>
  </si>
  <si>
    <t>Resultado del ejercicio</t>
  </si>
  <si>
    <t>Otros instrumentos de patrimonio</t>
  </si>
  <si>
    <t xml:space="preserve">Ajustes por cambios de valor </t>
  </si>
  <si>
    <t>Operaciones de cobertura</t>
  </si>
  <si>
    <t>Subvenciones, donaciones y legados recibidos</t>
  </si>
  <si>
    <t xml:space="preserve">PASIVO NO CORRIENTE </t>
  </si>
  <si>
    <t xml:space="preserve">Deudas con entidades de crédito </t>
  </si>
  <si>
    <t xml:space="preserve">Otros pasivos financieros </t>
  </si>
  <si>
    <t xml:space="preserve">Pasivos por impuesto diferido </t>
  </si>
  <si>
    <t>Periodificaciones a largo plazo</t>
  </si>
  <si>
    <t>PASIVO CORRIENTE</t>
  </si>
  <si>
    <t xml:space="preserve">Deudas a corto plazo </t>
  </si>
  <si>
    <t>Deudas con entidades de crédito</t>
  </si>
  <si>
    <t>Otros pasivos financieros</t>
  </si>
  <si>
    <t xml:space="preserve">Acreedores comerciales y otras cuentas a pagar </t>
  </si>
  <si>
    <t>Proveedores</t>
  </si>
  <si>
    <t>Proveedores, empresas del grupo y asociadas</t>
  </si>
  <si>
    <t>Acreedores varios</t>
  </si>
  <si>
    <t>Personal (remuneraciones pendientes de pago)</t>
  </si>
  <si>
    <t>Otras deudas con las Administraciones Públicas</t>
  </si>
  <si>
    <t>Anticipos de clientes</t>
  </si>
  <si>
    <t>TOTAL PATRIMONIO NETO Y PASIVO</t>
  </si>
  <si>
    <t xml:space="preserve">Importe neto de la cifra de negocio </t>
  </si>
  <si>
    <t>Var. de existencias de prod. terminados y en curso de fabricación</t>
  </si>
  <si>
    <t>Trabajos realizados por la empresa para su activo</t>
  </si>
  <si>
    <t>Aprovisionamientos</t>
  </si>
  <si>
    <t>Gastos de personal</t>
  </si>
  <si>
    <t>Otros gastos de explotación</t>
  </si>
  <si>
    <t>Amortización del inmovilizado</t>
  </si>
  <si>
    <t>Imputación de subvenciones de inmovilizado no financiero y otras</t>
  </si>
  <si>
    <t>Deterioro y resultado por enajenaciones del inmovilizado</t>
  </si>
  <si>
    <t>RESULTADO DE EXPLOTACIÓN</t>
  </si>
  <si>
    <t>Ingresos financieros</t>
  </si>
  <si>
    <t>Gastos financieros</t>
  </si>
  <si>
    <t>Diferencias de cambio</t>
  </si>
  <si>
    <t>Deterioro y result. por enajenaciones de instrumentos financieros</t>
  </si>
  <si>
    <t>RESULTADO FINANCIERO</t>
  </si>
  <si>
    <t>RESULTADO ANTES DE IMPUESTOS</t>
  </si>
  <si>
    <t>RESULTADO DEL EJERCICIO</t>
  </si>
  <si>
    <t xml:space="preserve">Periodificaciones a corto plazo </t>
  </si>
  <si>
    <t>Tesorería</t>
  </si>
  <si>
    <t>(Resultados negativos de ejercicios anteriores)</t>
  </si>
  <si>
    <t>Impuesto sobre beneficios</t>
  </si>
  <si>
    <t>Patentes, licencias, marcas y similares</t>
  </si>
  <si>
    <t>Inversiones financieras a largo plazo</t>
  </si>
  <si>
    <t xml:space="preserve">Activos por impuesto diferido </t>
  </si>
  <si>
    <t>Clientes por ventas y prestaciones de servicios</t>
  </si>
  <si>
    <t>Deudas a largo plazo</t>
  </si>
  <si>
    <t xml:space="preserve">Otros resultados </t>
  </si>
  <si>
    <t>SISTEMAS+C.I.</t>
  </si>
  <si>
    <t>Fondo Comercio consolidación</t>
  </si>
  <si>
    <t>Participaciones puestas en equivalencia</t>
  </si>
  <si>
    <t>Otras inversiones</t>
  </si>
  <si>
    <t>Acciones Propias</t>
  </si>
  <si>
    <t>(Expresadas en euros)</t>
  </si>
  <si>
    <t>Participaciones en beneficios (pérdidas) de sociedades puestas en equivalencia</t>
  </si>
  <si>
    <t>% s/Ventas</t>
  </si>
  <si>
    <t>BENEFICIO NETO</t>
  </si>
  <si>
    <t>EBT</t>
  </si>
  <si>
    <t>Participaciones de sdes. Puestas en equivalencia</t>
  </si>
  <si>
    <t>Resultado financiero</t>
  </si>
  <si>
    <t>EBIT</t>
  </si>
  <si>
    <t>EBITDA</t>
  </si>
  <si>
    <t>MARGEN BRUTO</t>
  </si>
  <si>
    <t>Importe neto de la cifra de negocio</t>
  </si>
  <si>
    <t>Variación interanual</t>
  </si>
  <si>
    <t>% Activo</t>
  </si>
  <si>
    <t>% Pasivo</t>
  </si>
  <si>
    <t>CUENTA DE PÉRDIDAS Y GANANCIAS - CONSOLIDADO</t>
  </si>
  <si>
    <t>GRUPO VOZTELECOM</t>
  </si>
  <si>
    <t>BALANCES AL 31 DE DICIEMBRE DE 2018 y 31 DE DICIEMBRE DE 2017</t>
  </si>
  <si>
    <t>Otros créditos con las Administraciones Públicas</t>
  </si>
  <si>
    <t>Obligaciones y bonos</t>
  </si>
  <si>
    <t>Otros ingresos de explotación</t>
  </si>
  <si>
    <t>DFN</t>
  </si>
  <si>
    <t>DF/PN</t>
  </si>
  <si>
    <t>DFN/EBITDA</t>
  </si>
  <si>
    <r>
      <t>Inmovilizado intangible</t>
    </r>
    <r>
      <rPr>
        <b/>
        <sz val="10"/>
        <color indexed="8"/>
        <rFont val="Arial"/>
        <family val="2"/>
      </rPr>
      <t xml:space="preserve"> </t>
    </r>
  </si>
  <si>
    <r>
      <t>Deudores comerciales y otras cuentas a cobrar</t>
    </r>
    <r>
      <rPr>
        <b/>
        <sz val="10"/>
        <color indexed="8"/>
        <rFont val="Arial"/>
        <family val="2"/>
      </rPr>
      <t xml:space="preserve"> </t>
    </r>
  </si>
  <si>
    <r>
      <t>Efectivo y otros activos líquidos equivalentes</t>
    </r>
    <r>
      <rPr>
        <b/>
        <sz val="10"/>
        <color indexed="8"/>
        <rFont val="Arial"/>
        <family val="2"/>
      </rPr>
      <t xml:space="preserve"> </t>
    </r>
  </si>
  <si>
    <t>Variación de existencias</t>
  </si>
  <si>
    <t>Gastos de personal de Telemarketing</t>
  </si>
  <si>
    <t>Gastos personal Atención al Cliente &amp; Soporte</t>
  </si>
  <si>
    <t>Resto gastos de personal</t>
  </si>
  <si>
    <t>Comisiones comerciales recurrentes</t>
  </si>
  <si>
    <t>Datacenter y Red</t>
  </si>
  <si>
    <t>Resto gastos de explotación</t>
  </si>
  <si>
    <t>PyG</t>
  </si>
  <si>
    <t>EBITDA CCAA</t>
  </si>
  <si>
    <t>Resto de Aprovisionamientos</t>
  </si>
  <si>
    <t>CONSOLIDADO VOZTELECOM OIGAA360, S.A.</t>
  </si>
  <si>
    <t>FONDO DE MANIOBRA</t>
  </si>
  <si>
    <t>Debt ST</t>
  </si>
  <si>
    <t>Debt LT</t>
  </si>
  <si>
    <t>Imputación subvenciones inmovilizado no financiero</t>
  </si>
  <si>
    <t xml:space="preserve">Inversiones en empresas del grupo y asociadas largo plazo </t>
  </si>
  <si>
    <t>Total deuda financiera</t>
  </si>
  <si>
    <t>Deuda Financiera Neta (sin incluir los bonos convertibles)</t>
  </si>
  <si>
    <t>Deuda Financiera Bruta (sin incluir los bonos convertibles)</t>
  </si>
  <si>
    <t>Ratios de la Deuda sin considerar la emisión de bonos</t>
  </si>
  <si>
    <t>Ratios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</si>
</sst>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0;\(#,##0.00\);\-"/>
    <numFmt numFmtId="166" formatCode="_-* #,##0\ _€_-;\-* #,##0\ _€_-;_-* &quot;-&quot;??\ _€_-;_-@_-"/>
    <numFmt numFmtId="167" formatCode="0.0%"/>
  </numFmts>
  <fonts count="15" x14ac:knownFonts="1">
    <font>
      <sz val="10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b/>
      <u/>
      <sz val="10"/>
      <color rgb="FF000000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08">
    <xf numFmtId="0" fontId="0" fillId="0" borderId="0" xfId="0"/>
    <xf numFmtId="165" fontId="3" fillId="0" borderId="0" xfId="0" applyNumberFormat="1" applyFont="1" applyAlignment="1">
      <alignment horizontal="right" vertical="top"/>
    </xf>
    <xf numFmtId="165" fontId="3" fillId="0" borderId="0" xfId="0" applyNumberFormat="1" applyFont="1" applyFill="1" applyAlignment="1">
      <alignment horizontal="right" vertical="top"/>
    </xf>
    <xf numFmtId="4" fontId="0" fillId="0" borderId="0" xfId="0" applyNumberFormat="1"/>
    <xf numFmtId="0" fontId="2" fillId="0" borderId="0" xfId="1"/>
    <xf numFmtId="0" fontId="4" fillId="0" borderId="0" xfId="1" applyFont="1"/>
    <xf numFmtId="4" fontId="2" fillId="0" borderId="0" xfId="1" applyNumberFormat="1"/>
    <xf numFmtId="3" fontId="2" fillId="0" borderId="0" xfId="1" applyNumberFormat="1"/>
    <xf numFmtId="0" fontId="1" fillId="0" borderId="0" xfId="1" quotePrefix="1" applyFont="1"/>
    <xf numFmtId="0" fontId="0" fillId="0" borderId="3" xfId="0" applyBorder="1"/>
    <xf numFmtId="0" fontId="0" fillId="0" borderId="0" xfId="0" applyBorder="1"/>
    <xf numFmtId="0" fontId="0" fillId="0" borderId="6" xfId="0" applyBorder="1"/>
    <xf numFmtId="164" fontId="0" fillId="0" borderId="8" xfId="4" applyFont="1" applyBorder="1"/>
    <xf numFmtId="164" fontId="0" fillId="0" borderId="9" xfId="4" applyFont="1" applyBorder="1"/>
    <xf numFmtId="0" fontId="7" fillId="0" borderId="0" xfId="0" applyFont="1" applyAlignment="1">
      <alignment vertical="top" wrapText="1"/>
    </xf>
    <xf numFmtId="0" fontId="8" fillId="0" borderId="0" xfId="0" applyFont="1"/>
    <xf numFmtId="166" fontId="7" fillId="2" borderId="0" xfId="4" applyNumberFormat="1" applyFont="1" applyFill="1" applyAlignment="1">
      <alignment vertical="top" wrapText="1"/>
    </xf>
    <xf numFmtId="0" fontId="7" fillId="0" borderId="0" xfId="0" applyFont="1" applyAlignment="1">
      <alignment horizontal="right" vertical="top" wrapText="1"/>
    </xf>
    <xf numFmtId="9" fontId="7" fillId="0" borderId="0" xfId="3" applyFont="1" applyAlignment="1">
      <alignment wrapText="1"/>
    </xf>
    <xf numFmtId="3" fontId="7" fillId="0" borderId="0" xfId="0" applyNumberFormat="1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3" fontId="7" fillId="0" borderId="0" xfId="0" applyNumberFormat="1" applyFont="1" applyAlignment="1">
      <alignment wrapText="1"/>
    </xf>
    <xf numFmtId="3" fontId="7" fillId="0" borderId="0" xfId="0" applyNumberFormat="1" applyFont="1"/>
    <xf numFmtId="3" fontId="7" fillId="2" borderId="0" xfId="0" applyNumberFormat="1" applyFont="1" applyFill="1" applyAlignment="1">
      <alignment vertical="top" wrapText="1"/>
    </xf>
    <xf numFmtId="3" fontId="7" fillId="0" borderId="1" xfId="0" applyNumberFormat="1" applyFont="1" applyBorder="1" applyAlignment="1">
      <alignment wrapText="1"/>
    </xf>
    <xf numFmtId="3" fontId="7" fillId="0" borderId="1" xfId="0" applyNumberFormat="1" applyFont="1" applyBorder="1" applyAlignment="1">
      <alignment vertical="top" wrapText="1"/>
    </xf>
    <xf numFmtId="0" fontId="9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166" fontId="9" fillId="2" borderId="0" xfId="4" applyNumberFormat="1" applyFont="1" applyFill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3" fontId="9" fillId="2" borderId="0" xfId="0" applyNumberFormat="1" applyFont="1" applyFill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wrapText="1"/>
    </xf>
    <xf numFmtId="4" fontId="7" fillId="0" borderId="0" xfId="0" applyNumberFormat="1" applyFont="1"/>
    <xf numFmtId="0" fontId="7" fillId="0" borderId="1" xfId="0" applyFont="1" applyBorder="1" applyAlignment="1">
      <alignment vertical="center" wrapText="1"/>
    </xf>
    <xf numFmtId="3" fontId="7" fillId="2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3" fontId="9" fillId="0" borderId="0" xfId="0" applyNumberFormat="1" applyFont="1"/>
    <xf numFmtId="3" fontId="9" fillId="0" borderId="0" xfId="0" applyNumberFormat="1" applyFont="1" applyAlignment="1">
      <alignment vertical="top" wrapText="1"/>
    </xf>
    <xf numFmtId="0" fontId="9" fillId="0" borderId="0" xfId="0" applyFont="1" applyAlignment="1">
      <alignment vertical="top" wrapText="1"/>
    </xf>
    <xf numFmtId="3" fontId="9" fillId="0" borderId="0" xfId="0" applyNumberFormat="1" applyFont="1" applyAlignment="1">
      <alignment wrapText="1"/>
    </xf>
    <xf numFmtId="166" fontId="0" fillId="0" borderId="8" xfId="4" applyNumberFormat="1" applyFont="1" applyBorder="1"/>
    <xf numFmtId="0" fontId="6" fillId="2" borderId="7" xfId="0" applyFont="1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164" fontId="0" fillId="0" borderId="9" xfId="4" applyNumberFormat="1" applyFont="1" applyBorder="1"/>
    <xf numFmtId="166" fontId="0" fillId="0" borderId="8" xfId="0" applyNumberFormat="1" applyBorder="1"/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7" fillId="0" borderId="0" xfId="0" applyFont="1"/>
    <xf numFmtId="3" fontId="8" fillId="0" borderId="0" xfId="0" applyNumberFormat="1" applyFont="1" applyAlignment="1">
      <alignment wrapText="1"/>
    </xf>
    <xf numFmtId="0" fontId="7" fillId="2" borderId="0" xfId="0" applyFont="1" applyFill="1" applyAlignment="1">
      <alignment vertical="top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3" fontId="9" fillId="2" borderId="2" xfId="0" applyNumberFormat="1" applyFont="1" applyFill="1" applyBorder="1" applyAlignment="1">
      <alignment horizontal="right" vertical="center" wrapText="1"/>
    </xf>
    <xf numFmtId="0" fontId="0" fillId="0" borderId="0" xfId="0" applyFont="1"/>
    <xf numFmtId="4" fontId="0" fillId="0" borderId="0" xfId="0" applyNumberFormat="1" applyFont="1"/>
    <xf numFmtId="0" fontId="12" fillId="0" borderId="0" xfId="1" applyFont="1"/>
    <xf numFmtId="0" fontId="8" fillId="0" borderId="0" xfId="1" applyFont="1" applyAlignment="1">
      <alignment vertical="top" wrapText="1"/>
    </xf>
    <xf numFmtId="0" fontId="8" fillId="0" borderId="0" xfId="1" applyFont="1" applyAlignment="1">
      <alignment wrapText="1"/>
    </xf>
    <xf numFmtId="0" fontId="9" fillId="0" borderId="0" xfId="1" applyFont="1" applyAlignment="1">
      <alignment vertical="center" wrapText="1"/>
    </xf>
    <xf numFmtId="3" fontId="9" fillId="0" borderId="0" xfId="1" applyNumberFormat="1" applyFont="1" applyAlignment="1">
      <alignment horizontal="right" vertical="center" wrapText="1"/>
    </xf>
    <xf numFmtId="4" fontId="9" fillId="0" borderId="0" xfId="1" applyNumberFormat="1" applyFont="1" applyAlignment="1">
      <alignment horizontal="right" vertical="center" wrapText="1"/>
    </xf>
    <xf numFmtId="0" fontId="9" fillId="2" borderId="0" xfId="1" applyFont="1" applyFill="1" applyAlignment="1">
      <alignment vertical="center" wrapText="1"/>
    </xf>
    <xf numFmtId="3" fontId="9" fillId="2" borderId="0" xfId="1" applyNumberFormat="1" applyFont="1" applyFill="1" applyAlignment="1">
      <alignment horizontal="right" vertical="center" wrapText="1"/>
    </xf>
    <xf numFmtId="0" fontId="9" fillId="2" borderId="2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8" fillId="0" borderId="0" xfId="1" applyFont="1" applyAlignment="1">
      <alignment horizontal="right" vertical="top" wrapText="1"/>
    </xf>
    <xf numFmtId="10" fontId="7" fillId="0" borderId="0" xfId="2" applyNumberFormat="1" applyFont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10" fontId="7" fillId="2" borderId="0" xfId="2" applyNumberFormat="1" applyFont="1" applyFill="1" applyAlignment="1">
      <alignment horizontal="right" vertical="center" wrapText="1"/>
    </xf>
    <xf numFmtId="0" fontId="7" fillId="2" borderId="0" xfId="1" applyFont="1" applyFill="1" applyAlignment="1">
      <alignment horizontal="right"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right" vertical="center" wrapText="1"/>
    </xf>
    <xf numFmtId="3" fontId="7" fillId="0" borderId="0" xfId="1" applyNumberFormat="1" applyFont="1" applyAlignment="1">
      <alignment horizontal="right" vertical="center" wrapText="1"/>
    </xf>
    <xf numFmtId="0" fontId="13" fillId="0" borderId="0" xfId="1" applyFont="1" applyAlignment="1">
      <alignment horizontal="right" vertical="top" wrapText="1"/>
    </xf>
    <xf numFmtId="10" fontId="14" fillId="0" borderId="0" xfId="2" applyNumberFormat="1" applyFont="1" applyAlignment="1">
      <alignment horizontal="right" vertical="center" wrapText="1"/>
    </xf>
    <xf numFmtId="0" fontId="13" fillId="2" borderId="0" xfId="1" applyFont="1" applyFill="1" applyAlignment="1">
      <alignment horizontal="right" vertical="top" wrapText="1"/>
    </xf>
    <xf numFmtId="10" fontId="14" fillId="2" borderId="0" xfId="2" applyNumberFormat="1" applyFont="1" applyFill="1" applyAlignment="1">
      <alignment horizontal="right" vertical="center" wrapText="1"/>
    </xf>
    <xf numFmtId="166" fontId="0" fillId="0" borderId="9" xfId="4" applyNumberFormat="1" applyFont="1" applyBorder="1"/>
    <xf numFmtId="9" fontId="0" fillId="0" borderId="8" xfId="3" applyFont="1" applyBorder="1"/>
    <xf numFmtId="9" fontId="0" fillId="0" borderId="9" xfId="4" applyNumberFormat="1" applyFont="1" applyBorder="1"/>
    <xf numFmtId="167" fontId="0" fillId="0" borderId="0" xfId="0" applyNumberFormat="1"/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3" fontId="7" fillId="2" borderId="2" xfId="0" applyNumberFormat="1" applyFont="1" applyFill="1" applyBorder="1" applyAlignment="1">
      <alignment vertical="top" wrapText="1"/>
    </xf>
    <xf numFmtId="3" fontId="7" fillId="2" borderId="1" xfId="0" applyNumberFormat="1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14" fontId="9" fillId="2" borderId="2" xfId="1" applyNumberFormat="1" applyFont="1" applyFill="1" applyBorder="1" applyAlignment="1">
      <alignment horizontal="center" vertical="center" wrapText="1"/>
    </xf>
    <xf numFmtId="14" fontId="9" fillId="2" borderId="1" xfId="1" applyNumberFormat="1" applyFont="1" applyFill="1" applyBorder="1" applyAlignment="1">
      <alignment horizontal="center" vertical="center" wrapText="1"/>
    </xf>
    <xf numFmtId="14" fontId="7" fillId="2" borderId="2" xfId="1" applyNumberFormat="1" applyFont="1" applyFill="1" applyBorder="1" applyAlignment="1">
      <alignment horizontal="center" vertical="center" wrapText="1"/>
    </xf>
    <xf numFmtId="14" fontId="7" fillId="2" borderId="1" xfId="1" applyNumberFormat="1" applyFont="1" applyFill="1" applyBorder="1" applyAlignment="1">
      <alignment horizontal="center" vertical="center" wrapText="1"/>
    </xf>
  </cellXfs>
  <cellStyles count="5">
    <cellStyle name="Millares" xfId="4" builtinId="3"/>
    <cellStyle name="Normal" xfId="0" builtinId="0"/>
    <cellStyle name="Normal 2" xfId="1" xr:uid="{00000000-0005-0000-0000-000001000000}"/>
    <cellStyle name="Porcentaje" xfId="3" builtinId="5"/>
    <cellStyle name="Porcentaje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23"/>
  <sheetViews>
    <sheetView showGridLines="0" topLeftCell="A93" workbookViewId="0">
      <selection activeCell="B1" sqref="B1"/>
    </sheetView>
  </sheetViews>
  <sheetFormatPr baseColWidth="10" defaultRowHeight="15" x14ac:dyDescent="0.3"/>
  <cols>
    <col min="1" max="1" width="4.5703125" customWidth="1"/>
    <col min="2" max="2" width="54.5703125" customWidth="1"/>
    <col min="3" max="3" width="15.140625" bestFit="1" customWidth="1"/>
    <col min="4" max="4" width="2.7109375" customWidth="1"/>
    <col min="5" max="5" width="12.85546875" customWidth="1"/>
    <col min="7" max="7" width="12.140625" bestFit="1" customWidth="1"/>
  </cols>
  <sheetData>
    <row r="1" spans="2:12" x14ac:dyDescent="0.3">
      <c r="B1" s="57" t="s">
        <v>118</v>
      </c>
    </row>
    <row r="2" spans="2:12" hidden="1" x14ac:dyDescent="0.3">
      <c r="B2" s="58" t="s">
        <v>98</v>
      </c>
    </row>
    <row r="3" spans="2:12" ht="15.75" thickBot="1" x14ac:dyDescent="0.35">
      <c r="B3" s="56" t="s">
        <v>0</v>
      </c>
    </row>
    <row r="4" spans="2:12" ht="15" customHeight="1" x14ac:dyDescent="0.3">
      <c r="B4" s="26" t="s">
        <v>97</v>
      </c>
      <c r="C4" s="96">
        <v>2018</v>
      </c>
      <c r="D4" s="98"/>
      <c r="E4" s="96">
        <v>2017</v>
      </c>
    </row>
    <row r="5" spans="2:12" ht="15.75" thickBot="1" x14ac:dyDescent="0.35">
      <c r="B5" s="27" t="s">
        <v>1</v>
      </c>
      <c r="C5" s="97" t="s">
        <v>77</v>
      </c>
      <c r="D5" s="99"/>
      <c r="E5" s="97" t="s">
        <v>77</v>
      </c>
    </row>
    <row r="6" spans="2:12" ht="8.25" customHeight="1" x14ac:dyDescent="0.3">
      <c r="B6" s="14"/>
      <c r="C6" s="15"/>
      <c r="D6" s="14"/>
      <c r="E6" s="15"/>
      <c r="L6" s="1"/>
    </row>
    <row r="7" spans="2:12" x14ac:dyDescent="0.3">
      <c r="B7" s="28" t="s">
        <v>2</v>
      </c>
      <c r="C7" s="29">
        <f>+C9+C16+C19+C23+C27</f>
        <v>5127583.26</v>
      </c>
      <c r="D7" s="16"/>
      <c r="E7" s="29">
        <f>+E9+E16+E19+E23+E27</f>
        <v>5095140.99</v>
      </c>
      <c r="L7" s="1"/>
    </row>
    <row r="8" spans="2:12" x14ac:dyDescent="0.3">
      <c r="B8" s="17" t="s">
        <v>94</v>
      </c>
      <c r="C8" s="18">
        <f>C7/$C$52</f>
        <v>0.581483064515252</v>
      </c>
      <c r="D8" s="14"/>
      <c r="E8" s="18">
        <f>E7/$E$52</f>
        <v>0.68609616733492229</v>
      </c>
      <c r="L8" s="2"/>
    </row>
    <row r="9" spans="2:12" x14ac:dyDescent="0.3">
      <c r="B9" s="30" t="s">
        <v>105</v>
      </c>
      <c r="C9" s="31">
        <f>SUM(C10:C14)</f>
        <v>3053162.76</v>
      </c>
      <c r="D9" s="32"/>
      <c r="E9" s="31">
        <f>SUM(E10:E14)</f>
        <v>2951850.14</v>
      </c>
      <c r="L9" s="2"/>
    </row>
    <row r="10" spans="2:12" x14ac:dyDescent="0.3">
      <c r="B10" s="44" t="s">
        <v>3</v>
      </c>
      <c r="C10" s="33">
        <v>1878461.9</v>
      </c>
      <c r="D10" s="19"/>
      <c r="E10" s="33">
        <v>1922756.7</v>
      </c>
      <c r="L10" s="2"/>
    </row>
    <row r="11" spans="2:12" x14ac:dyDescent="0.3">
      <c r="B11" s="44" t="s">
        <v>71</v>
      </c>
      <c r="C11" s="33">
        <v>11342.87</v>
      </c>
      <c r="D11" s="19"/>
      <c r="E11" s="33">
        <v>2772.7</v>
      </c>
      <c r="L11" s="2"/>
    </row>
    <row r="12" spans="2:12" x14ac:dyDescent="0.3">
      <c r="B12" s="44" t="s">
        <v>4</v>
      </c>
      <c r="C12" s="33">
        <v>8569.26</v>
      </c>
      <c r="D12" s="19"/>
      <c r="E12" s="33">
        <f>6522.3+9142.8+2799.71</f>
        <v>18464.809999999998</v>
      </c>
      <c r="G12" s="3"/>
    </row>
    <row r="13" spans="2:12" x14ac:dyDescent="0.3">
      <c r="B13" s="44" t="s">
        <v>5</v>
      </c>
      <c r="C13" s="33">
        <v>1151748.73</v>
      </c>
      <c r="D13" s="19"/>
      <c r="E13" s="33">
        <f>1004446.42+369.51</f>
        <v>1004815.93</v>
      </c>
    </row>
    <row r="14" spans="2:12" x14ac:dyDescent="0.3">
      <c r="B14" s="44" t="s">
        <v>78</v>
      </c>
      <c r="C14" s="33">
        <v>3040</v>
      </c>
      <c r="D14" s="19"/>
      <c r="E14" s="33">
        <v>3040</v>
      </c>
    </row>
    <row r="15" spans="2:12" ht="15" hidden="1" customHeight="1" x14ac:dyDescent="0.3">
      <c r="B15" s="20"/>
      <c r="C15" s="21"/>
      <c r="D15" s="19"/>
      <c r="E15" s="21"/>
    </row>
    <row r="16" spans="2:12" x14ac:dyDescent="0.3">
      <c r="B16" s="30" t="s">
        <v>6</v>
      </c>
      <c r="C16" s="31">
        <f>SUM(C17:C17)</f>
        <v>1705534.36</v>
      </c>
      <c r="D16" s="32"/>
      <c r="E16" s="31">
        <f>SUM(E17:E17)</f>
        <v>1795618.53</v>
      </c>
    </row>
    <row r="17" spans="2:7" hidden="1" x14ac:dyDescent="0.3">
      <c r="B17" s="34" t="s">
        <v>7</v>
      </c>
      <c r="C17" s="33">
        <v>1705534.36</v>
      </c>
      <c r="D17" s="19"/>
      <c r="E17" s="33">
        <f>1796396.74+2021.5-2799.71</f>
        <v>1795618.53</v>
      </c>
      <c r="G17" s="3"/>
    </row>
    <row r="18" spans="2:7" ht="15" hidden="1" customHeight="1" x14ac:dyDescent="0.3">
      <c r="B18" s="14"/>
      <c r="C18" s="21"/>
      <c r="D18" s="19"/>
      <c r="E18" s="21"/>
    </row>
    <row r="19" spans="2:7" ht="25.5" x14ac:dyDescent="0.3">
      <c r="B19" s="30" t="s">
        <v>123</v>
      </c>
      <c r="C19" s="31">
        <v>15561.07</v>
      </c>
      <c r="D19" s="32"/>
      <c r="E19" s="31">
        <v>15561.07</v>
      </c>
    </row>
    <row r="20" spans="2:7" hidden="1" x14ac:dyDescent="0.3">
      <c r="B20" s="34" t="s">
        <v>79</v>
      </c>
      <c r="C20" s="33">
        <v>15561.07</v>
      </c>
      <c r="D20" s="38"/>
      <c r="E20" s="33">
        <v>15561.07</v>
      </c>
    </row>
    <row r="21" spans="2:7" hidden="1" x14ac:dyDescent="0.3">
      <c r="B21" s="34" t="s">
        <v>80</v>
      </c>
      <c r="C21" s="33">
        <v>0</v>
      </c>
      <c r="D21" s="22"/>
      <c r="E21" s="33">
        <v>0</v>
      </c>
    </row>
    <row r="22" spans="2:7" ht="15" hidden="1" customHeight="1" x14ac:dyDescent="0.3">
      <c r="B22" s="14"/>
      <c r="C22" s="21"/>
      <c r="D22" s="19"/>
      <c r="E22" s="21"/>
    </row>
    <row r="23" spans="2:7" x14ac:dyDescent="0.3">
      <c r="B23" s="30" t="s">
        <v>72</v>
      </c>
      <c r="C23" s="31">
        <f>SUM(C24:C25)</f>
        <v>166420.35</v>
      </c>
      <c r="D23" s="32"/>
      <c r="E23" s="31">
        <f>SUM(E24:E25)</f>
        <v>145206.53</v>
      </c>
    </row>
    <row r="24" spans="2:7" hidden="1" x14ac:dyDescent="0.3">
      <c r="B24" s="34" t="s">
        <v>10</v>
      </c>
      <c r="C24" s="33">
        <v>10000</v>
      </c>
      <c r="D24" s="19"/>
      <c r="E24" s="33">
        <v>10000</v>
      </c>
    </row>
    <row r="25" spans="2:7" hidden="1" x14ac:dyDescent="0.3">
      <c r="B25" s="34" t="s">
        <v>9</v>
      </c>
      <c r="C25" s="33">
        <v>156420.35</v>
      </c>
      <c r="D25" s="19"/>
      <c r="E25" s="33">
        <v>135206.53</v>
      </c>
    </row>
    <row r="26" spans="2:7" ht="15" hidden="1" customHeight="1" x14ac:dyDescent="0.3">
      <c r="B26" s="14"/>
      <c r="C26" s="21"/>
      <c r="D26" s="19"/>
      <c r="E26" s="21"/>
    </row>
    <row r="27" spans="2:7" x14ac:dyDescent="0.3">
      <c r="B27" s="30" t="s">
        <v>73</v>
      </c>
      <c r="C27" s="31">
        <v>186904.72</v>
      </c>
      <c r="D27" s="32"/>
      <c r="E27" s="31">
        <v>186904.72</v>
      </c>
    </row>
    <row r="28" spans="2:7" ht="15" hidden="1" customHeight="1" x14ac:dyDescent="0.3">
      <c r="B28" s="14"/>
      <c r="C28" s="21"/>
      <c r="D28" s="19"/>
      <c r="E28" s="21"/>
    </row>
    <row r="29" spans="2:7" x14ac:dyDescent="0.3">
      <c r="B29" s="28" t="s">
        <v>11</v>
      </c>
      <c r="C29" s="35">
        <f>+C31+C34+C41+C46+C48</f>
        <v>3690529.55</v>
      </c>
      <c r="D29" s="23"/>
      <c r="E29" s="35">
        <f>+E31+E34+E41+E46+E48</f>
        <v>2331137.1800000002</v>
      </c>
    </row>
    <row r="30" spans="2:7" x14ac:dyDescent="0.3">
      <c r="B30" s="17" t="s">
        <v>94</v>
      </c>
      <c r="C30" s="18">
        <f>C29/$C$52</f>
        <v>0.41851693548474805</v>
      </c>
      <c r="D30" s="14"/>
      <c r="E30" s="18">
        <f>E29/$E$52</f>
        <v>0.31390383266507782</v>
      </c>
    </row>
    <row r="31" spans="2:7" x14ac:dyDescent="0.3">
      <c r="B31" s="30" t="s">
        <v>12</v>
      </c>
      <c r="C31" s="31">
        <f>SUM(C32:C32)</f>
        <v>189728.11</v>
      </c>
      <c r="D31" s="46"/>
      <c r="E31" s="31">
        <f>SUM(E32:E32)</f>
        <v>258683.47</v>
      </c>
    </row>
    <row r="32" spans="2:7" hidden="1" x14ac:dyDescent="0.3">
      <c r="B32" s="34" t="s">
        <v>13</v>
      </c>
      <c r="C32" s="33">
        <v>189728.11</v>
      </c>
      <c r="D32" s="19"/>
      <c r="E32" s="33">
        <v>258683.47</v>
      </c>
    </row>
    <row r="33" spans="2:10" ht="15" hidden="1" customHeight="1" x14ac:dyDescent="0.3">
      <c r="B33" s="14"/>
      <c r="C33" s="21"/>
      <c r="D33" s="19"/>
      <c r="E33" s="21"/>
    </row>
    <row r="34" spans="2:10" x14ac:dyDescent="0.3">
      <c r="B34" s="30" t="s">
        <v>106</v>
      </c>
      <c r="C34" s="31">
        <f>SUM(C35:C39)</f>
        <v>469292.62</v>
      </c>
      <c r="D34" s="32"/>
      <c r="E34" s="31">
        <f>SUM(E35:E39)</f>
        <v>490704.17000000004</v>
      </c>
    </row>
    <row r="35" spans="2:10" x14ac:dyDescent="0.3">
      <c r="B35" s="44" t="s">
        <v>74</v>
      </c>
      <c r="C35" s="33">
        <v>254455.45</v>
      </c>
      <c r="D35" s="19"/>
      <c r="E35" s="33">
        <v>271926</v>
      </c>
    </row>
    <row r="36" spans="2:10" x14ac:dyDescent="0.3">
      <c r="B36" s="44" t="s">
        <v>14</v>
      </c>
      <c r="C36" s="33">
        <v>150795.93</v>
      </c>
      <c r="D36" s="19"/>
      <c r="E36" s="33">
        <v>155983.07</v>
      </c>
    </row>
    <row r="37" spans="2:10" x14ac:dyDescent="0.3">
      <c r="B37" s="44" t="s">
        <v>15</v>
      </c>
      <c r="C37" s="33">
        <v>16063.82</v>
      </c>
      <c r="D37" s="19"/>
      <c r="E37" s="33">
        <v>14998.81</v>
      </c>
    </row>
    <row r="38" spans="2:10" x14ac:dyDescent="0.3">
      <c r="B38" s="44" t="s">
        <v>16</v>
      </c>
      <c r="C38" s="33">
        <v>22374.92</v>
      </c>
      <c r="D38" s="22"/>
      <c r="E38" s="33">
        <v>46274.76</v>
      </c>
    </row>
    <row r="39" spans="2:10" x14ac:dyDescent="0.3">
      <c r="B39" s="44" t="s">
        <v>99</v>
      </c>
      <c r="C39" s="33">
        <v>25602.5</v>
      </c>
      <c r="D39" s="22"/>
      <c r="E39" s="33">
        <v>1521.53</v>
      </c>
    </row>
    <row r="40" spans="2:10" ht="15" hidden="1" customHeight="1" x14ac:dyDescent="0.3">
      <c r="B40" s="14"/>
      <c r="C40" s="21"/>
      <c r="D40" s="19"/>
      <c r="E40" s="21"/>
    </row>
    <row r="41" spans="2:10" x14ac:dyDescent="0.3">
      <c r="B41" s="30" t="s">
        <v>17</v>
      </c>
      <c r="C41" s="31">
        <f>SUM(C42:C44)</f>
        <v>197024.18</v>
      </c>
      <c r="D41" s="32"/>
      <c r="E41" s="31">
        <f>SUM(E42:E44)</f>
        <v>405461.15</v>
      </c>
    </row>
    <row r="42" spans="2:10" hidden="1" x14ac:dyDescent="0.3">
      <c r="B42" s="34" t="s">
        <v>29</v>
      </c>
      <c r="C42" s="33">
        <v>0</v>
      </c>
      <c r="D42" s="19"/>
      <c r="E42" s="33">
        <v>229363.41</v>
      </c>
      <c r="J42" s="1"/>
    </row>
    <row r="43" spans="2:10" hidden="1" x14ac:dyDescent="0.3">
      <c r="B43" s="34" t="s">
        <v>8</v>
      </c>
      <c r="C43" s="33">
        <v>8116.06</v>
      </c>
      <c r="D43" s="19"/>
      <c r="E43" s="33">
        <v>2022.51</v>
      </c>
      <c r="J43" s="1"/>
    </row>
    <row r="44" spans="2:10" hidden="1" x14ac:dyDescent="0.3">
      <c r="B44" s="34" t="s">
        <v>9</v>
      </c>
      <c r="C44" s="33">
        <v>188908.12</v>
      </c>
      <c r="D44" s="19"/>
      <c r="E44" s="33">
        <v>174075.23</v>
      </c>
      <c r="J44" s="1"/>
    </row>
    <row r="45" spans="2:10" ht="15" hidden="1" customHeight="1" x14ac:dyDescent="0.3">
      <c r="B45" s="14"/>
      <c r="C45" s="21"/>
      <c r="D45" s="19"/>
      <c r="E45" s="21"/>
      <c r="J45" s="1"/>
    </row>
    <row r="46" spans="2:10" x14ac:dyDescent="0.3">
      <c r="B46" s="30" t="s">
        <v>67</v>
      </c>
      <c r="C46" s="31">
        <v>84394.41</v>
      </c>
      <c r="D46" s="46"/>
      <c r="E46" s="31">
        <v>101926.20000000001</v>
      </c>
      <c r="J46" s="1"/>
    </row>
    <row r="47" spans="2:10" ht="15" hidden="1" customHeight="1" x14ac:dyDescent="0.3">
      <c r="B47" s="14"/>
      <c r="C47" s="21"/>
      <c r="D47" s="19"/>
      <c r="E47" s="21"/>
    </row>
    <row r="48" spans="2:10" x14ac:dyDescent="0.3">
      <c r="B48" s="30" t="s">
        <v>107</v>
      </c>
      <c r="C48" s="31">
        <v>2750090.23</v>
      </c>
      <c r="D48" s="32"/>
      <c r="E48" s="31">
        <f>SUM(E49:E49)</f>
        <v>1074362.1900000002</v>
      </c>
    </row>
    <row r="49" spans="2:8" hidden="1" x14ac:dyDescent="0.3">
      <c r="B49" s="34" t="s">
        <v>68</v>
      </c>
      <c r="C49" s="33">
        <v>1074362.1900000002</v>
      </c>
      <c r="D49" s="19"/>
      <c r="E49" s="33">
        <v>1074362.1900000002</v>
      </c>
    </row>
    <row r="50" spans="2:8" ht="15.75" hidden="1" customHeight="1" thickBot="1" x14ac:dyDescent="0.35">
      <c r="B50" s="36"/>
      <c r="C50" s="24"/>
      <c r="D50" s="25"/>
      <c r="E50" s="24"/>
    </row>
    <row r="51" spans="2:8" ht="15" hidden="1" customHeight="1" x14ac:dyDescent="0.3">
      <c r="B51" s="28"/>
      <c r="C51" s="35"/>
      <c r="D51" s="100"/>
      <c r="E51" s="35"/>
    </row>
    <row r="52" spans="2:8" ht="15.75" thickBot="1" x14ac:dyDescent="0.35">
      <c r="B52" s="27" t="s">
        <v>18</v>
      </c>
      <c r="C52" s="37">
        <f>+C29+C7</f>
        <v>8818112.8099999987</v>
      </c>
      <c r="D52" s="101"/>
      <c r="E52" s="37">
        <f>+E29+E7</f>
        <v>7426278.1699999999</v>
      </c>
    </row>
    <row r="53" spans="2:8" ht="15.75" thickBot="1" x14ac:dyDescent="0.35"/>
    <row r="54" spans="2:8" ht="15" customHeight="1" x14ac:dyDescent="0.3">
      <c r="B54" s="26" t="s">
        <v>97</v>
      </c>
      <c r="C54" s="96">
        <v>2018</v>
      </c>
      <c r="D54" s="98"/>
      <c r="E54" s="96">
        <v>2017</v>
      </c>
    </row>
    <row r="55" spans="2:8" ht="15.75" thickBot="1" x14ac:dyDescent="0.35">
      <c r="B55" s="27" t="s">
        <v>19</v>
      </c>
      <c r="C55" s="97" t="s">
        <v>77</v>
      </c>
      <c r="D55" s="99"/>
      <c r="E55" s="97" t="s">
        <v>77</v>
      </c>
    </row>
    <row r="56" spans="2:8" x14ac:dyDescent="0.3">
      <c r="B56" s="14"/>
      <c r="C56" s="39"/>
      <c r="D56" s="14"/>
      <c r="E56" s="39"/>
    </row>
    <row r="57" spans="2:8" x14ac:dyDescent="0.3">
      <c r="B57" s="28" t="s">
        <v>20</v>
      </c>
      <c r="C57" s="35">
        <f>+C59+C77+C80</f>
        <v>1649218.8999999994</v>
      </c>
      <c r="D57" s="23"/>
      <c r="E57" s="35">
        <f>+E59+E77+E80</f>
        <v>2002538.7700000003</v>
      </c>
      <c r="G57" s="3"/>
    </row>
    <row r="58" spans="2:8" x14ac:dyDescent="0.3">
      <c r="B58" s="17" t="s">
        <v>95</v>
      </c>
      <c r="C58" s="18">
        <f>C57/$C$108</f>
        <v>0.18702628731736531</v>
      </c>
      <c r="D58" s="14"/>
      <c r="E58" s="18">
        <f>E57/$E$108</f>
        <v>0.26965577159359222</v>
      </c>
    </row>
    <row r="59" spans="2:8" x14ac:dyDescent="0.3">
      <c r="B59" s="30" t="s">
        <v>21</v>
      </c>
      <c r="C59" s="31">
        <f>+C61+C64+C66+C68+C71+C74+C76</f>
        <v>1492653.2299999995</v>
      </c>
      <c r="D59" s="45"/>
      <c r="E59" s="31">
        <f>+E61+E64+E66+E68+E71+E74</f>
        <v>1784379.6500000004</v>
      </c>
      <c r="H59" s="3"/>
    </row>
    <row r="60" spans="2:8" ht="15" hidden="1" customHeight="1" x14ac:dyDescent="0.3">
      <c r="B60" s="14"/>
      <c r="C60" s="21"/>
      <c r="D60" s="19"/>
      <c r="E60" s="21"/>
    </row>
    <row r="61" spans="2:8" x14ac:dyDescent="0.3">
      <c r="B61" s="44" t="s">
        <v>22</v>
      </c>
      <c r="C61" s="33">
        <v>448950</v>
      </c>
      <c r="D61" s="38"/>
      <c r="E61" s="33">
        <v>448950</v>
      </c>
    </row>
    <row r="62" spans="2:8" hidden="1" x14ac:dyDescent="0.3">
      <c r="B62" s="44" t="s">
        <v>23</v>
      </c>
      <c r="C62" s="33">
        <v>448950</v>
      </c>
      <c r="D62" s="19"/>
      <c r="E62" s="33">
        <v>448950</v>
      </c>
    </row>
    <row r="63" spans="2:8" ht="15" hidden="1" customHeight="1" x14ac:dyDescent="0.3">
      <c r="B63" s="17"/>
      <c r="C63" s="21"/>
      <c r="D63" s="19"/>
      <c r="E63" s="21"/>
    </row>
    <row r="64" spans="2:8" x14ac:dyDescent="0.3">
      <c r="B64" s="44" t="s">
        <v>24</v>
      </c>
      <c r="C64" s="33">
        <v>6324995.2699999996</v>
      </c>
      <c r="D64" s="38"/>
      <c r="E64" s="33">
        <v>6324995.2699999996</v>
      </c>
    </row>
    <row r="65" spans="2:5" ht="15" hidden="1" customHeight="1" x14ac:dyDescent="0.3">
      <c r="B65" s="17"/>
      <c r="C65" s="21"/>
      <c r="D65" s="19"/>
      <c r="E65" s="21"/>
    </row>
    <row r="66" spans="2:5" x14ac:dyDescent="0.3">
      <c r="B66" s="44" t="s">
        <v>81</v>
      </c>
      <c r="C66" s="33">
        <v>-297279</v>
      </c>
      <c r="D66" s="38"/>
      <c r="E66" s="33">
        <v>-147133.35</v>
      </c>
    </row>
    <row r="67" spans="2:5" ht="15" hidden="1" customHeight="1" x14ac:dyDescent="0.3">
      <c r="B67" s="17"/>
      <c r="C67" s="21"/>
      <c r="D67" s="19"/>
      <c r="E67" s="21"/>
    </row>
    <row r="68" spans="2:5" x14ac:dyDescent="0.3">
      <c r="B68" s="44" t="s">
        <v>25</v>
      </c>
      <c r="C68" s="33">
        <f>SUM(C69)</f>
        <v>-138743.88</v>
      </c>
      <c r="D68" s="38"/>
      <c r="E68" s="33">
        <f>SUM(E69)</f>
        <v>-234456.56</v>
      </c>
    </row>
    <row r="69" spans="2:5" hidden="1" x14ac:dyDescent="0.3">
      <c r="B69" s="44" t="s">
        <v>26</v>
      </c>
      <c r="C69" s="33">
        <v>-138743.88</v>
      </c>
      <c r="D69" s="19"/>
      <c r="E69" s="33">
        <f>-207853.35-445.43-26157.78</f>
        <v>-234456.56</v>
      </c>
    </row>
    <row r="70" spans="2:5" ht="15" hidden="1" customHeight="1" x14ac:dyDescent="0.3">
      <c r="B70" s="17"/>
      <c r="C70" s="21"/>
      <c r="D70" s="19"/>
      <c r="E70" s="21"/>
    </row>
    <row r="71" spans="2:5" x14ac:dyDescent="0.3">
      <c r="B71" s="44" t="s">
        <v>27</v>
      </c>
      <c r="C71" s="33">
        <f>SUM(C72)</f>
        <v>-4607976</v>
      </c>
      <c r="D71" s="19"/>
      <c r="E71" s="33">
        <v>-3149419.17</v>
      </c>
    </row>
    <row r="72" spans="2:5" hidden="1" x14ac:dyDescent="0.3">
      <c r="B72" s="44" t="s">
        <v>69</v>
      </c>
      <c r="C72" s="33">
        <v>-4607976</v>
      </c>
      <c r="D72" s="19"/>
      <c r="E72" s="33">
        <v>-3149419.17</v>
      </c>
    </row>
    <row r="73" spans="2:5" ht="15" hidden="1" customHeight="1" x14ac:dyDescent="0.3">
      <c r="B73" s="17"/>
      <c r="C73" s="21"/>
      <c r="D73" s="19"/>
      <c r="E73" s="21"/>
    </row>
    <row r="74" spans="2:5" x14ac:dyDescent="0.3">
      <c r="B74" s="44" t="s">
        <v>28</v>
      </c>
      <c r="C74" s="33">
        <v>-790369.86</v>
      </c>
      <c r="D74" s="19"/>
      <c r="E74" s="33">
        <f>-1469720.84+11164.3</f>
        <v>-1458556.54</v>
      </c>
    </row>
    <row r="75" spans="2:5" ht="15" hidden="1" customHeight="1" x14ac:dyDescent="0.3">
      <c r="B75" s="17"/>
      <c r="C75" s="21"/>
      <c r="D75" s="19"/>
      <c r="E75" s="21"/>
    </row>
    <row r="76" spans="2:5" ht="15" customHeight="1" x14ac:dyDescent="0.3">
      <c r="B76" s="43" t="s">
        <v>29</v>
      </c>
      <c r="C76" s="33">
        <v>553076.69999999995</v>
      </c>
      <c r="D76" s="19"/>
      <c r="E76" s="21">
        <v>0</v>
      </c>
    </row>
    <row r="77" spans="2:5" x14ac:dyDescent="0.3">
      <c r="B77" s="30" t="s">
        <v>30</v>
      </c>
      <c r="C77" s="31">
        <f>SUM(C78)</f>
        <v>1529.66</v>
      </c>
      <c r="D77" s="46"/>
      <c r="E77" s="31">
        <f>SUM(E78)</f>
        <v>1529.66</v>
      </c>
    </row>
    <row r="78" spans="2:5" hidden="1" x14ac:dyDescent="0.3">
      <c r="B78" s="30" t="s">
        <v>31</v>
      </c>
      <c r="C78" s="31">
        <v>1529.66</v>
      </c>
      <c r="D78" s="46"/>
      <c r="E78" s="31">
        <v>1529.66</v>
      </c>
    </row>
    <row r="79" spans="2:5" ht="15" hidden="1" customHeight="1" x14ac:dyDescent="0.3">
      <c r="B79" s="47"/>
      <c r="C79" s="48"/>
      <c r="D79" s="46"/>
      <c r="E79" s="48"/>
    </row>
    <row r="80" spans="2:5" x14ac:dyDescent="0.3">
      <c r="B80" s="30" t="s">
        <v>32</v>
      </c>
      <c r="C80" s="31">
        <v>155036.01</v>
      </c>
      <c r="D80" s="32"/>
      <c r="E80" s="31">
        <v>216629.46</v>
      </c>
    </row>
    <row r="81" spans="2:9" ht="15" hidden="1" customHeight="1" x14ac:dyDescent="0.3">
      <c r="B81" s="14"/>
      <c r="C81" s="21"/>
      <c r="D81" s="19"/>
      <c r="E81" s="21"/>
    </row>
    <row r="82" spans="2:9" x14ac:dyDescent="0.3">
      <c r="B82" s="28" t="s">
        <v>33</v>
      </c>
      <c r="C82" s="35">
        <f>+C84+C89+C91</f>
        <v>4762107.1800000006</v>
      </c>
      <c r="D82" s="23"/>
      <c r="E82" s="35">
        <f>+E84+E89+E91</f>
        <v>2513435.61</v>
      </c>
    </row>
    <row r="83" spans="2:9" x14ac:dyDescent="0.3">
      <c r="B83" s="17" t="s">
        <v>95</v>
      </c>
      <c r="C83" s="18">
        <f>C82/$C$108</f>
        <v>0.5400369991410896</v>
      </c>
      <c r="D83" s="14"/>
      <c r="E83" s="18">
        <f>E82/$E$108</f>
        <v>0.3384515840187009</v>
      </c>
    </row>
    <row r="84" spans="2:9" x14ac:dyDescent="0.3">
      <c r="B84" s="30" t="s">
        <v>75</v>
      </c>
      <c r="C84" s="31">
        <f>SUM(C85:C87)</f>
        <v>4686298.91</v>
      </c>
      <c r="D84" s="32"/>
      <c r="E84" s="31">
        <f>SUM(E85:E87)</f>
        <v>2391285.17</v>
      </c>
    </row>
    <row r="85" spans="2:9" x14ac:dyDescent="0.3">
      <c r="B85" s="43" t="s">
        <v>100</v>
      </c>
      <c r="C85" s="33">
        <v>1338923.3</v>
      </c>
      <c r="D85" s="32"/>
      <c r="E85" s="40">
        <v>0</v>
      </c>
    </row>
    <row r="86" spans="2:9" x14ac:dyDescent="0.3">
      <c r="B86" s="44" t="s">
        <v>34</v>
      </c>
      <c r="C86" s="33">
        <v>1822035.51</v>
      </c>
      <c r="D86" s="22"/>
      <c r="E86" s="33">
        <v>1451253.05</v>
      </c>
    </row>
    <row r="87" spans="2:9" x14ac:dyDescent="0.3">
      <c r="B87" s="44" t="s">
        <v>35</v>
      </c>
      <c r="C87" s="33">
        <v>1525340.1</v>
      </c>
      <c r="D87" s="19"/>
      <c r="E87" s="33">
        <v>940032.12</v>
      </c>
    </row>
    <row r="88" spans="2:9" ht="15" hidden="1" customHeight="1" x14ac:dyDescent="0.3">
      <c r="B88" s="14"/>
      <c r="C88" s="21"/>
      <c r="D88" s="19"/>
      <c r="E88" s="21"/>
    </row>
    <row r="89" spans="2:9" x14ac:dyDescent="0.3">
      <c r="B89" s="30" t="s">
        <v>36</v>
      </c>
      <c r="C89" s="31">
        <v>51220.99</v>
      </c>
      <c r="D89" s="32"/>
      <c r="E89" s="31">
        <v>71563.12000000001</v>
      </c>
    </row>
    <row r="90" spans="2:9" ht="15" hidden="1" customHeight="1" x14ac:dyDescent="0.3">
      <c r="B90" s="34"/>
      <c r="C90" s="33"/>
      <c r="D90" s="38"/>
      <c r="E90" s="33"/>
    </row>
    <row r="91" spans="2:9" x14ac:dyDescent="0.3">
      <c r="B91" s="30" t="s">
        <v>37</v>
      </c>
      <c r="C91" s="31">
        <v>24587.279999999999</v>
      </c>
      <c r="D91" s="32"/>
      <c r="E91" s="31">
        <v>50587.32</v>
      </c>
    </row>
    <row r="92" spans="2:9" ht="15" hidden="1" customHeight="1" x14ac:dyDescent="0.3">
      <c r="B92" s="14"/>
      <c r="C92" s="21"/>
      <c r="D92" s="19"/>
      <c r="E92" s="21"/>
    </row>
    <row r="93" spans="2:9" x14ac:dyDescent="0.3">
      <c r="B93" s="28" t="s">
        <v>38</v>
      </c>
      <c r="C93" s="35">
        <f>+C95+C100</f>
        <v>2406786.73</v>
      </c>
      <c r="D93" s="23"/>
      <c r="E93" s="35">
        <f>+E95+E100</f>
        <v>2910303.79</v>
      </c>
      <c r="I93" s="3"/>
    </row>
    <row r="94" spans="2:9" x14ac:dyDescent="0.3">
      <c r="B94" s="17" t="s">
        <v>95</v>
      </c>
      <c r="C94" s="18">
        <f>C93/$C$108</f>
        <v>0.2729367135415452</v>
      </c>
      <c r="D94" s="14"/>
      <c r="E94" s="18">
        <f>E93/$E$108</f>
        <v>0.39189264438770677</v>
      </c>
    </row>
    <row r="95" spans="2:9" x14ac:dyDescent="0.3">
      <c r="B95" s="30" t="s">
        <v>39</v>
      </c>
      <c r="C95" s="31">
        <f>SUM(C96:C98)</f>
        <v>654430.31999999995</v>
      </c>
      <c r="D95" s="32"/>
      <c r="E95" s="31">
        <f>SUM(E96:E98)</f>
        <v>1513929.62</v>
      </c>
    </row>
    <row r="96" spans="2:9" hidden="1" x14ac:dyDescent="0.3">
      <c r="B96" s="34" t="s">
        <v>40</v>
      </c>
      <c r="C96" s="33">
        <v>164516.28</v>
      </c>
      <c r="D96" s="22"/>
      <c r="E96" s="33">
        <v>844102.36</v>
      </c>
    </row>
    <row r="97" spans="2:5" hidden="1" x14ac:dyDescent="0.3">
      <c r="B97" s="34" t="s">
        <v>8</v>
      </c>
      <c r="C97" s="33">
        <v>1996.55</v>
      </c>
      <c r="D97" s="19"/>
      <c r="E97" s="33">
        <v>1996.55</v>
      </c>
    </row>
    <row r="98" spans="2:5" hidden="1" x14ac:dyDescent="0.3">
      <c r="B98" s="34" t="s">
        <v>41</v>
      </c>
      <c r="C98" s="33">
        <v>487917.49</v>
      </c>
      <c r="D98" s="19"/>
      <c r="E98" s="33">
        <v>667830.71</v>
      </c>
    </row>
    <row r="99" spans="2:5" ht="15" hidden="1" customHeight="1" x14ac:dyDescent="0.3">
      <c r="B99" s="14"/>
      <c r="C99" s="21"/>
      <c r="D99" s="19"/>
      <c r="E99" s="21"/>
    </row>
    <row r="100" spans="2:5" x14ac:dyDescent="0.3">
      <c r="B100" s="30" t="s">
        <v>42</v>
      </c>
      <c r="C100" s="31">
        <f>SUM(C101:C106)</f>
        <v>1752356.41</v>
      </c>
      <c r="D100" s="32"/>
      <c r="E100" s="31">
        <f>SUM(E101:E106)</f>
        <v>1396374.17</v>
      </c>
    </row>
    <row r="101" spans="2:5" hidden="1" x14ac:dyDescent="0.3">
      <c r="B101" s="34" t="s">
        <v>43</v>
      </c>
      <c r="C101" s="33">
        <v>951450.68</v>
      </c>
      <c r="D101" s="22"/>
      <c r="E101" s="33">
        <v>807343.39</v>
      </c>
    </row>
    <row r="102" spans="2:5" hidden="1" x14ac:dyDescent="0.3">
      <c r="B102" s="34" t="s">
        <v>44</v>
      </c>
      <c r="C102" s="33">
        <v>0</v>
      </c>
      <c r="D102" s="22"/>
      <c r="E102" s="33">
        <v>0</v>
      </c>
    </row>
    <row r="103" spans="2:5" hidden="1" x14ac:dyDescent="0.3">
      <c r="B103" s="34" t="s">
        <v>45</v>
      </c>
      <c r="C103" s="33">
        <v>299359.82</v>
      </c>
      <c r="D103" s="19"/>
      <c r="E103" s="33">
        <v>75668.09</v>
      </c>
    </row>
    <row r="104" spans="2:5" hidden="1" x14ac:dyDescent="0.3">
      <c r="B104" s="34" t="s">
        <v>46</v>
      </c>
      <c r="C104" s="33">
        <v>324708.46000000002</v>
      </c>
      <c r="D104" s="19"/>
      <c r="E104" s="33">
        <v>315438.55</v>
      </c>
    </row>
    <row r="105" spans="2:5" hidden="1" x14ac:dyDescent="0.3">
      <c r="B105" s="34" t="s">
        <v>47</v>
      </c>
      <c r="C105" s="33">
        <v>176837.45</v>
      </c>
      <c r="D105" s="19"/>
      <c r="E105" s="33">
        <v>197924.14</v>
      </c>
    </row>
    <row r="106" spans="2:5" hidden="1" x14ac:dyDescent="0.3">
      <c r="B106" s="34" t="s">
        <v>48</v>
      </c>
      <c r="C106" s="33">
        <v>0</v>
      </c>
      <c r="D106" s="19"/>
      <c r="E106" s="33">
        <v>0</v>
      </c>
    </row>
    <row r="107" spans="2:5" ht="15.75" hidden="1" customHeight="1" thickBot="1" x14ac:dyDescent="0.35">
      <c r="B107" s="41"/>
      <c r="C107" s="24"/>
      <c r="D107" s="25"/>
      <c r="E107" s="24"/>
    </row>
    <row r="108" spans="2:5" ht="15.75" thickBot="1" x14ac:dyDescent="0.35">
      <c r="B108" s="27" t="s">
        <v>49</v>
      </c>
      <c r="C108" s="37">
        <f>+C93+C82+C57</f>
        <v>8818112.8099999987</v>
      </c>
      <c r="D108" s="42"/>
      <c r="E108" s="37">
        <f>+E93+E82+E57</f>
        <v>7426278.1700000009</v>
      </c>
    </row>
    <row r="109" spans="2:5" ht="15.75" thickBot="1" x14ac:dyDescent="0.35"/>
    <row r="110" spans="2:5" x14ac:dyDescent="0.3">
      <c r="B110" s="50" t="s">
        <v>128</v>
      </c>
      <c r="C110" s="50">
        <v>2018</v>
      </c>
      <c r="D110" s="9"/>
      <c r="E110" s="50">
        <v>2017</v>
      </c>
    </row>
    <row r="111" spans="2:5" x14ac:dyDescent="0.3">
      <c r="B111" s="51" t="s">
        <v>103</v>
      </c>
      <c r="C111" s="12">
        <f>(C84+C95)/C57</f>
        <v>3.2383386038081436</v>
      </c>
      <c r="D111" s="10"/>
      <c r="E111" s="12">
        <f>(E84+E95)/E57</f>
        <v>1.9501319267841188</v>
      </c>
    </row>
    <row r="112" spans="2:5" x14ac:dyDescent="0.3">
      <c r="B112" s="51" t="s">
        <v>102</v>
      </c>
      <c r="C112" s="49">
        <f>+C84+C95-C48</f>
        <v>2590639.0000000005</v>
      </c>
      <c r="D112" s="10"/>
      <c r="E112" s="49">
        <f>+E84+E95-E48-E42</f>
        <v>2601489.1899999995</v>
      </c>
    </row>
    <row r="113" spans="2:9" ht="15.75" thickBot="1" x14ac:dyDescent="0.35">
      <c r="B113" s="52" t="s">
        <v>104</v>
      </c>
      <c r="C113" s="13">
        <f>C112/'PyG Negocio'!C37</f>
        <v>2.4591864352308281</v>
      </c>
      <c r="D113" s="11"/>
      <c r="E113" s="13">
        <f>E112/'PyG Negocio'!D37</f>
        <v>7.7752918757770217</v>
      </c>
    </row>
    <row r="114" spans="2:9" ht="15.75" thickBot="1" x14ac:dyDescent="0.35">
      <c r="B114" s="52" t="s">
        <v>119</v>
      </c>
      <c r="C114" s="92">
        <f>C29-C93</f>
        <v>1283742.8199999998</v>
      </c>
      <c r="D114" s="11"/>
      <c r="E114" s="92">
        <f>E29-E93</f>
        <v>-579166.60999999987</v>
      </c>
    </row>
    <row r="115" spans="2:9" ht="15.75" hidden="1" thickBot="1" x14ac:dyDescent="0.35"/>
    <row r="116" spans="2:9" x14ac:dyDescent="0.3">
      <c r="B116" s="51" t="s">
        <v>120</v>
      </c>
      <c r="C116" s="93">
        <f>C95/(C82+C93-C100-C89-C91)</f>
        <v>0.12253576090769162</v>
      </c>
      <c r="D116" s="10"/>
      <c r="E116" s="93">
        <f>E95/(E82+E93-E100-E89-E91)</f>
        <v>0.38766872026519184</v>
      </c>
      <c r="G116" s="95"/>
      <c r="H116" s="95"/>
      <c r="I116" s="95"/>
    </row>
    <row r="117" spans="2:9" ht="15.75" thickBot="1" x14ac:dyDescent="0.35">
      <c r="B117" s="52" t="s">
        <v>121</v>
      </c>
      <c r="C117" s="94">
        <f>C84/(C82+C93-C100-C89-C91)</f>
        <v>0.87746423909230853</v>
      </c>
      <c r="D117" s="11"/>
      <c r="E117" s="94">
        <f>E84/(E82+E93-E100-E89-E91)</f>
        <v>0.61233127973480805</v>
      </c>
      <c r="G117" s="95"/>
      <c r="H117" s="95"/>
      <c r="I117" s="95"/>
    </row>
    <row r="118" spans="2:9" ht="15.75" thickBot="1" x14ac:dyDescent="0.35"/>
    <row r="119" spans="2:9" x14ac:dyDescent="0.3">
      <c r="B119" s="50" t="s">
        <v>127</v>
      </c>
      <c r="C119" s="50">
        <v>2018</v>
      </c>
    </row>
    <row r="120" spans="2:9" x14ac:dyDescent="0.3">
      <c r="B120" s="51" t="s">
        <v>124</v>
      </c>
      <c r="C120" s="54">
        <f>C84+C95</f>
        <v>5340729.2300000004</v>
      </c>
    </row>
    <row r="121" spans="2:9" x14ac:dyDescent="0.3">
      <c r="B121" s="51" t="s">
        <v>126</v>
      </c>
      <c r="C121" s="54">
        <f>C120-C85</f>
        <v>4001805.9300000006</v>
      </c>
    </row>
    <row r="122" spans="2:9" x14ac:dyDescent="0.3">
      <c r="B122" s="51" t="s">
        <v>125</v>
      </c>
      <c r="C122" s="54">
        <f>C121-C48</f>
        <v>1251715.7000000007</v>
      </c>
    </row>
    <row r="123" spans="2:9" ht="15.75" thickBot="1" x14ac:dyDescent="0.35">
      <c r="B123" s="52" t="s">
        <v>104</v>
      </c>
      <c r="C123" s="53">
        <f>C122/'PyG Negocio'!C37</f>
        <v>1.18820193404232</v>
      </c>
    </row>
  </sheetData>
  <mergeCells count="7">
    <mergeCell ref="E4:E5"/>
    <mergeCell ref="E54:E55"/>
    <mergeCell ref="D54:D55"/>
    <mergeCell ref="C54:C55"/>
    <mergeCell ref="D4:D5"/>
    <mergeCell ref="C4:C5"/>
    <mergeCell ref="D51:D5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46"/>
  <sheetViews>
    <sheetView showGridLines="0" topLeftCell="A20" workbookViewId="0">
      <selection activeCell="B2" sqref="B2"/>
    </sheetView>
  </sheetViews>
  <sheetFormatPr baseColWidth="10" defaultRowHeight="15" x14ac:dyDescent="0.3"/>
  <cols>
    <col min="1" max="1" width="4.5703125" customWidth="1"/>
    <col min="2" max="2" width="64" customWidth="1"/>
    <col min="3" max="3" width="10.140625" bestFit="1" customWidth="1"/>
    <col min="4" max="4" width="3.5703125" customWidth="1"/>
    <col min="5" max="5" width="10.140625" bestFit="1" customWidth="1"/>
    <col min="247" max="247" width="58.42578125" customWidth="1"/>
    <col min="250" max="250" width="3.140625" customWidth="1"/>
    <col min="253" max="253" width="12.42578125" customWidth="1"/>
    <col min="254" max="254" width="14.42578125" customWidth="1"/>
    <col min="503" max="503" width="58.42578125" customWidth="1"/>
    <col min="506" max="506" width="3.140625" customWidth="1"/>
    <col min="509" max="509" width="12.42578125" customWidth="1"/>
    <col min="510" max="510" width="14.42578125" customWidth="1"/>
    <col min="759" max="759" width="58.42578125" customWidth="1"/>
    <col min="762" max="762" width="3.140625" customWidth="1"/>
    <col min="765" max="765" width="12.42578125" customWidth="1"/>
    <col min="766" max="766" width="14.42578125" customWidth="1"/>
    <col min="1015" max="1015" width="58.42578125" customWidth="1"/>
    <col min="1018" max="1018" width="3.140625" customWidth="1"/>
    <col min="1021" max="1021" width="12.42578125" customWidth="1"/>
    <col min="1022" max="1022" width="14.42578125" customWidth="1"/>
    <col min="1271" max="1271" width="58.42578125" customWidth="1"/>
    <col min="1274" max="1274" width="3.140625" customWidth="1"/>
    <col min="1277" max="1277" width="12.42578125" customWidth="1"/>
    <col min="1278" max="1278" width="14.42578125" customWidth="1"/>
    <col min="1527" max="1527" width="58.42578125" customWidth="1"/>
    <col min="1530" max="1530" width="3.140625" customWidth="1"/>
    <col min="1533" max="1533" width="12.42578125" customWidth="1"/>
    <col min="1534" max="1534" width="14.42578125" customWidth="1"/>
    <col min="1783" max="1783" width="58.42578125" customWidth="1"/>
    <col min="1786" max="1786" width="3.140625" customWidth="1"/>
    <col min="1789" max="1789" width="12.42578125" customWidth="1"/>
    <col min="1790" max="1790" width="14.42578125" customWidth="1"/>
    <col min="2039" max="2039" width="58.42578125" customWidth="1"/>
    <col min="2042" max="2042" width="3.140625" customWidth="1"/>
    <col min="2045" max="2045" width="12.42578125" customWidth="1"/>
    <col min="2046" max="2046" width="14.42578125" customWidth="1"/>
    <col min="2295" max="2295" width="58.42578125" customWidth="1"/>
    <col min="2298" max="2298" width="3.140625" customWidth="1"/>
    <col min="2301" max="2301" width="12.42578125" customWidth="1"/>
    <col min="2302" max="2302" width="14.42578125" customWidth="1"/>
    <col min="2551" max="2551" width="58.42578125" customWidth="1"/>
    <col min="2554" max="2554" width="3.140625" customWidth="1"/>
    <col min="2557" max="2557" width="12.42578125" customWidth="1"/>
    <col min="2558" max="2558" width="14.42578125" customWidth="1"/>
    <col min="2807" max="2807" width="58.42578125" customWidth="1"/>
    <col min="2810" max="2810" width="3.140625" customWidth="1"/>
    <col min="2813" max="2813" width="12.42578125" customWidth="1"/>
    <col min="2814" max="2814" width="14.42578125" customWidth="1"/>
    <col min="3063" max="3063" width="58.42578125" customWidth="1"/>
    <col min="3066" max="3066" width="3.140625" customWidth="1"/>
    <col min="3069" max="3069" width="12.42578125" customWidth="1"/>
    <col min="3070" max="3070" width="14.42578125" customWidth="1"/>
    <col min="3319" max="3319" width="58.42578125" customWidth="1"/>
    <col min="3322" max="3322" width="3.140625" customWidth="1"/>
    <col min="3325" max="3325" width="12.42578125" customWidth="1"/>
    <col min="3326" max="3326" width="14.42578125" customWidth="1"/>
    <col min="3575" max="3575" width="58.42578125" customWidth="1"/>
    <col min="3578" max="3578" width="3.140625" customWidth="1"/>
    <col min="3581" max="3581" width="12.42578125" customWidth="1"/>
    <col min="3582" max="3582" width="14.42578125" customWidth="1"/>
    <col min="3831" max="3831" width="58.42578125" customWidth="1"/>
    <col min="3834" max="3834" width="3.140625" customWidth="1"/>
    <col min="3837" max="3837" width="12.42578125" customWidth="1"/>
    <col min="3838" max="3838" width="14.42578125" customWidth="1"/>
    <col min="4087" max="4087" width="58.42578125" customWidth="1"/>
    <col min="4090" max="4090" width="3.140625" customWidth="1"/>
    <col min="4093" max="4093" width="12.42578125" customWidth="1"/>
    <col min="4094" max="4094" width="14.42578125" customWidth="1"/>
    <col min="4343" max="4343" width="58.42578125" customWidth="1"/>
    <col min="4346" max="4346" width="3.140625" customWidth="1"/>
    <col min="4349" max="4349" width="12.42578125" customWidth="1"/>
    <col min="4350" max="4350" width="14.42578125" customWidth="1"/>
    <col min="4599" max="4599" width="58.42578125" customWidth="1"/>
    <col min="4602" max="4602" width="3.140625" customWidth="1"/>
    <col min="4605" max="4605" width="12.42578125" customWidth="1"/>
    <col min="4606" max="4606" width="14.42578125" customWidth="1"/>
    <col min="4855" max="4855" width="58.42578125" customWidth="1"/>
    <col min="4858" max="4858" width="3.140625" customWidth="1"/>
    <col min="4861" max="4861" width="12.42578125" customWidth="1"/>
    <col min="4862" max="4862" width="14.42578125" customWidth="1"/>
    <col min="5111" max="5111" width="58.42578125" customWidth="1"/>
    <col min="5114" max="5114" width="3.140625" customWidth="1"/>
    <col min="5117" max="5117" width="12.42578125" customWidth="1"/>
    <col min="5118" max="5118" width="14.42578125" customWidth="1"/>
    <col min="5367" max="5367" width="58.42578125" customWidth="1"/>
    <col min="5370" max="5370" width="3.140625" customWidth="1"/>
    <col min="5373" max="5373" width="12.42578125" customWidth="1"/>
    <col min="5374" max="5374" width="14.42578125" customWidth="1"/>
    <col min="5623" max="5623" width="58.42578125" customWidth="1"/>
    <col min="5626" max="5626" width="3.140625" customWidth="1"/>
    <col min="5629" max="5629" width="12.42578125" customWidth="1"/>
    <col min="5630" max="5630" width="14.42578125" customWidth="1"/>
    <col min="5879" max="5879" width="58.42578125" customWidth="1"/>
    <col min="5882" max="5882" width="3.140625" customWidth="1"/>
    <col min="5885" max="5885" width="12.42578125" customWidth="1"/>
    <col min="5886" max="5886" width="14.42578125" customWidth="1"/>
    <col min="6135" max="6135" width="58.42578125" customWidth="1"/>
    <col min="6138" max="6138" width="3.140625" customWidth="1"/>
    <col min="6141" max="6141" width="12.42578125" customWidth="1"/>
    <col min="6142" max="6142" width="14.42578125" customWidth="1"/>
    <col min="6391" max="6391" width="58.42578125" customWidth="1"/>
    <col min="6394" max="6394" width="3.140625" customWidth="1"/>
    <col min="6397" max="6397" width="12.42578125" customWidth="1"/>
    <col min="6398" max="6398" width="14.42578125" customWidth="1"/>
    <col min="6647" max="6647" width="58.42578125" customWidth="1"/>
    <col min="6650" max="6650" width="3.140625" customWidth="1"/>
    <col min="6653" max="6653" width="12.42578125" customWidth="1"/>
    <col min="6654" max="6654" width="14.42578125" customWidth="1"/>
    <col min="6903" max="6903" width="58.42578125" customWidth="1"/>
    <col min="6906" max="6906" width="3.140625" customWidth="1"/>
    <col min="6909" max="6909" width="12.42578125" customWidth="1"/>
    <col min="6910" max="6910" width="14.42578125" customWidth="1"/>
    <col min="7159" max="7159" width="58.42578125" customWidth="1"/>
    <col min="7162" max="7162" width="3.140625" customWidth="1"/>
    <col min="7165" max="7165" width="12.42578125" customWidth="1"/>
    <col min="7166" max="7166" width="14.42578125" customWidth="1"/>
    <col min="7415" max="7415" width="58.42578125" customWidth="1"/>
    <col min="7418" max="7418" width="3.140625" customWidth="1"/>
    <col min="7421" max="7421" width="12.42578125" customWidth="1"/>
    <col min="7422" max="7422" width="14.42578125" customWidth="1"/>
    <col min="7671" max="7671" width="58.42578125" customWidth="1"/>
    <col min="7674" max="7674" width="3.140625" customWidth="1"/>
    <col min="7677" max="7677" width="12.42578125" customWidth="1"/>
    <col min="7678" max="7678" width="14.42578125" customWidth="1"/>
    <col min="7927" max="7927" width="58.42578125" customWidth="1"/>
    <col min="7930" max="7930" width="3.140625" customWidth="1"/>
    <col min="7933" max="7933" width="12.42578125" customWidth="1"/>
    <col min="7934" max="7934" width="14.42578125" customWidth="1"/>
    <col min="8183" max="8183" width="58.42578125" customWidth="1"/>
    <col min="8186" max="8186" width="3.140625" customWidth="1"/>
    <col min="8189" max="8189" width="12.42578125" customWidth="1"/>
    <col min="8190" max="8190" width="14.42578125" customWidth="1"/>
    <col min="8439" max="8439" width="58.42578125" customWidth="1"/>
    <col min="8442" max="8442" width="3.140625" customWidth="1"/>
    <col min="8445" max="8445" width="12.42578125" customWidth="1"/>
    <col min="8446" max="8446" width="14.42578125" customWidth="1"/>
    <col min="8695" max="8695" width="58.42578125" customWidth="1"/>
    <col min="8698" max="8698" width="3.140625" customWidth="1"/>
    <col min="8701" max="8701" width="12.42578125" customWidth="1"/>
    <col min="8702" max="8702" width="14.42578125" customWidth="1"/>
    <col min="8951" max="8951" width="58.42578125" customWidth="1"/>
    <col min="8954" max="8954" width="3.140625" customWidth="1"/>
    <col min="8957" max="8957" width="12.42578125" customWidth="1"/>
    <col min="8958" max="8958" width="14.42578125" customWidth="1"/>
    <col min="9207" max="9207" width="58.42578125" customWidth="1"/>
    <col min="9210" max="9210" width="3.140625" customWidth="1"/>
    <col min="9213" max="9213" width="12.42578125" customWidth="1"/>
    <col min="9214" max="9214" width="14.42578125" customWidth="1"/>
    <col min="9463" max="9463" width="58.42578125" customWidth="1"/>
    <col min="9466" max="9466" width="3.140625" customWidth="1"/>
    <col min="9469" max="9469" width="12.42578125" customWidth="1"/>
    <col min="9470" max="9470" width="14.42578125" customWidth="1"/>
    <col min="9719" max="9719" width="58.42578125" customWidth="1"/>
    <col min="9722" max="9722" width="3.140625" customWidth="1"/>
    <col min="9725" max="9725" width="12.42578125" customWidth="1"/>
    <col min="9726" max="9726" width="14.42578125" customWidth="1"/>
    <col min="9975" max="9975" width="58.42578125" customWidth="1"/>
    <col min="9978" max="9978" width="3.140625" customWidth="1"/>
    <col min="9981" max="9981" width="12.42578125" customWidth="1"/>
    <col min="9982" max="9982" width="14.42578125" customWidth="1"/>
    <col min="10231" max="10231" width="58.42578125" customWidth="1"/>
    <col min="10234" max="10234" width="3.140625" customWidth="1"/>
    <col min="10237" max="10237" width="12.42578125" customWidth="1"/>
    <col min="10238" max="10238" width="14.42578125" customWidth="1"/>
    <col min="10487" max="10487" width="58.42578125" customWidth="1"/>
    <col min="10490" max="10490" width="3.140625" customWidth="1"/>
    <col min="10493" max="10493" width="12.42578125" customWidth="1"/>
    <col min="10494" max="10494" width="14.42578125" customWidth="1"/>
    <col min="10743" max="10743" width="58.42578125" customWidth="1"/>
    <col min="10746" max="10746" width="3.140625" customWidth="1"/>
    <col min="10749" max="10749" width="12.42578125" customWidth="1"/>
    <col min="10750" max="10750" width="14.42578125" customWidth="1"/>
    <col min="10999" max="10999" width="58.42578125" customWidth="1"/>
    <col min="11002" max="11002" width="3.140625" customWidth="1"/>
    <col min="11005" max="11005" width="12.42578125" customWidth="1"/>
    <col min="11006" max="11006" width="14.42578125" customWidth="1"/>
    <col min="11255" max="11255" width="58.42578125" customWidth="1"/>
    <col min="11258" max="11258" width="3.140625" customWidth="1"/>
    <col min="11261" max="11261" width="12.42578125" customWidth="1"/>
    <col min="11262" max="11262" width="14.42578125" customWidth="1"/>
    <col min="11511" max="11511" width="58.42578125" customWidth="1"/>
    <col min="11514" max="11514" width="3.140625" customWidth="1"/>
    <col min="11517" max="11517" width="12.42578125" customWidth="1"/>
    <col min="11518" max="11518" width="14.42578125" customWidth="1"/>
    <col min="11767" max="11767" width="58.42578125" customWidth="1"/>
    <col min="11770" max="11770" width="3.140625" customWidth="1"/>
    <col min="11773" max="11773" width="12.42578125" customWidth="1"/>
    <col min="11774" max="11774" width="14.42578125" customWidth="1"/>
    <col min="12023" max="12023" width="58.42578125" customWidth="1"/>
    <col min="12026" max="12026" width="3.140625" customWidth="1"/>
    <col min="12029" max="12029" width="12.42578125" customWidth="1"/>
    <col min="12030" max="12030" width="14.42578125" customWidth="1"/>
    <col min="12279" max="12279" width="58.42578125" customWidth="1"/>
    <col min="12282" max="12282" width="3.140625" customWidth="1"/>
    <col min="12285" max="12285" width="12.42578125" customWidth="1"/>
    <col min="12286" max="12286" width="14.42578125" customWidth="1"/>
    <col min="12535" max="12535" width="58.42578125" customWidth="1"/>
    <col min="12538" max="12538" width="3.140625" customWidth="1"/>
    <col min="12541" max="12541" width="12.42578125" customWidth="1"/>
    <col min="12542" max="12542" width="14.42578125" customWidth="1"/>
    <col min="12791" max="12791" width="58.42578125" customWidth="1"/>
    <col min="12794" max="12794" width="3.140625" customWidth="1"/>
    <col min="12797" max="12797" width="12.42578125" customWidth="1"/>
    <col min="12798" max="12798" width="14.42578125" customWidth="1"/>
    <col min="13047" max="13047" width="58.42578125" customWidth="1"/>
    <col min="13050" max="13050" width="3.140625" customWidth="1"/>
    <col min="13053" max="13053" width="12.42578125" customWidth="1"/>
    <col min="13054" max="13054" width="14.42578125" customWidth="1"/>
    <col min="13303" max="13303" width="58.42578125" customWidth="1"/>
    <col min="13306" max="13306" width="3.140625" customWidth="1"/>
    <col min="13309" max="13309" width="12.42578125" customWidth="1"/>
    <col min="13310" max="13310" width="14.42578125" customWidth="1"/>
    <col min="13559" max="13559" width="58.42578125" customWidth="1"/>
    <col min="13562" max="13562" width="3.140625" customWidth="1"/>
    <col min="13565" max="13565" width="12.42578125" customWidth="1"/>
    <col min="13566" max="13566" width="14.42578125" customWidth="1"/>
    <col min="13815" max="13815" width="58.42578125" customWidth="1"/>
    <col min="13818" max="13818" width="3.140625" customWidth="1"/>
    <col min="13821" max="13821" width="12.42578125" customWidth="1"/>
    <col min="13822" max="13822" width="14.42578125" customWidth="1"/>
    <col min="14071" max="14071" width="58.42578125" customWidth="1"/>
    <col min="14074" max="14074" width="3.140625" customWidth="1"/>
    <col min="14077" max="14077" width="12.42578125" customWidth="1"/>
    <col min="14078" max="14078" width="14.42578125" customWidth="1"/>
    <col min="14327" max="14327" width="58.42578125" customWidth="1"/>
    <col min="14330" max="14330" width="3.140625" customWidth="1"/>
    <col min="14333" max="14333" width="12.42578125" customWidth="1"/>
    <col min="14334" max="14334" width="14.42578125" customWidth="1"/>
    <col min="14583" max="14583" width="58.42578125" customWidth="1"/>
    <col min="14586" max="14586" width="3.140625" customWidth="1"/>
    <col min="14589" max="14589" width="12.42578125" customWidth="1"/>
    <col min="14590" max="14590" width="14.42578125" customWidth="1"/>
    <col min="14839" max="14839" width="58.42578125" customWidth="1"/>
    <col min="14842" max="14842" width="3.140625" customWidth="1"/>
    <col min="14845" max="14845" width="12.42578125" customWidth="1"/>
    <col min="14846" max="14846" width="14.42578125" customWidth="1"/>
    <col min="15095" max="15095" width="58.42578125" customWidth="1"/>
    <col min="15098" max="15098" width="3.140625" customWidth="1"/>
    <col min="15101" max="15101" width="12.42578125" customWidth="1"/>
    <col min="15102" max="15102" width="14.42578125" customWidth="1"/>
    <col min="15351" max="15351" width="58.42578125" customWidth="1"/>
    <col min="15354" max="15354" width="3.140625" customWidth="1"/>
    <col min="15357" max="15357" width="12.42578125" customWidth="1"/>
    <col min="15358" max="15358" width="14.42578125" customWidth="1"/>
    <col min="15607" max="15607" width="58.42578125" customWidth="1"/>
    <col min="15610" max="15610" width="3.140625" customWidth="1"/>
    <col min="15613" max="15613" width="12.42578125" customWidth="1"/>
    <col min="15614" max="15614" width="14.42578125" customWidth="1"/>
    <col min="15863" max="15863" width="58.42578125" customWidth="1"/>
    <col min="15866" max="15866" width="3.140625" customWidth="1"/>
    <col min="15869" max="15869" width="12.42578125" customWidth="1"/>
    <col min="15870" max="15870" width="14.42578125" customWidth="1"/>
    <col min="16119" max="16119" width="58.42578125" customWidth="1"/>
    <col min="16122" max="16122" width="3.140625" customWidth="1"/>
    <col min="16125" max="16125" width="12.42578125" customWidth="1"/>
    <col min="16126" max="16126" width="14.42578125" customWidth="1"/>
  </cols>
  <sheetData>
    <row r="1" spans="2:5" x14ac:dyDescent="0.3">
      <c r="B1" s="57" t="s">
        <v>118</v>
      </c>
      <c r="C1" s="55"/>
      <c r="D1" s="15"/>
      <c r="E1" s="15"/>
    </row>
    <row r="2" spans="2:5" ht="15.75" thickBot="1" x14ac:dyDescent="0.35">
      <c r="B2" s="56" t="s">
        <v>82</v>
      </c>
      <c r="C2" s="59"/>
      <c r="D2" s="15"/>
      <c r="E2" s="15"/>
    </row>
    <row r="3" spans="2:5" ht="14.25" customHeight="1" x14ac:dyDescent="0.3">
      <c r="B3" s="26" t="s">
        <v>97</v>
      </c>
      <c r="C3" s="26"/>
      <c r="D3" s="98"/>
      <c r="E3" s="26"/>
    </row>
    <row r="4" spans="2:5" ht="24.75" customHeight="1" thickBot="1" x14ac:dyDescent="0.35">
      <c r="B4" s="27" t="s">
        <v>96</v>
      </c>
      <c r="C4" s="64">
        <v>43465</v>
      </c>
      <c r="D4" s="99"/>
      <c r="E4" s="64">
        <v>43100</v>
      </c>
    </row>
    <row r="5" spans="2:5" ht="14.25" customHeight="1" x14ac:dyDescent="0.3">
      <c r="B5" s="14"/>
      <c r="C5" s="60"/>
      <c r="D5" s="14"/>
      <c r="E5" s="60"/>
    </row>
    <row r="6" spans="2:5" x14ac:dyDescent="0.3">
      <c r="B6" s="30" t="s">
        <v>50</v>
      </c>
      <c r="C6" s="31">
        <v>10522120.470000001</v>
      </c>
      <c r="D6" s="61"/>
      <c r="E6" s="31">
        <v>9710830.7699999996</v>
      </c>
    </row>
    <row r="7" spans="2:5" ht="14.25" hidden="1" customHeight="1" x14ac:dyDescent="0.3">
      <c r="B7" s="39"/>
      <c r="C7" s="62"/>
      <c r="D7" s="39"/>
      <c r="E7" s="62"/>
    </row>
    <row r="8" spans="2:5" x14ac:dyDescent="0.3">
      <c r="B8" s="30" t="s">
        <v>51</v>
      </c>
      <c r="C8" s="31">
        <v>0</v>
      </c>
      <c r="D8" s="61"/>
      <c r="E8" s="31">
        <v>15490.47</v>
      </c>
    </row>
    <row r="9" spans="2:5" ht="14.25" hidden="1" customHeight="1" x14ac:dyDescent="0.3">
      <c r="B9" s="14"/>
      <c r="C9" s="62"/>
      <c r="D9" s="14"/>
      <c r="E9" s="62"/>
    </row>
    <row r="10" spans="2:5" x14ac:dyDescent="0.3">
      <c r="B10" s="30" t="s">
        <v>52</v>
      </c>
      <c r="C10" s="31">
        <v>627732.47999999998</v>
      </c>
      <c r="D10" s="61"/>
      <c r="E10" s="31">
        <v>609943.78</v>
      </c>
    </row>
    <row r="11" spans="2:5" ht="14.25" hidden="1" customHeight="1" x14ac:dyDescent="0.3">
      <c r="B11" s="14"/>
      <c r="C11" s="62"/>
      <c r="D11" s="14"/>
      <c r="E11" s="62"/>
    </row>
    <row r="12" spans="2:5" x14ac:dyDescent="0.3">
      <c r="B12" s="30" t="s">
        <v>53</v>
      </c>
      <c r="C12" s="31">
        <v>-4800108.76</v>
      </c>
      <c r="D12" s="65"/>
      <c r="E12" s="31">
        <v>-4293260.82</v>
      </c>
    </row>
    <row r="13" spans="2:5" hidden="1" x14ac:dyDescent="0.3">
      <c r="B13" s="30"/>
      <c r="C13" s="31"/>
      <c r="D13" s="65"/>
      <c r="E13" s="31"/>
    </row>
    <row r="14" spans="2:5" x14ac:dyDescent="0.3">
      <c r="B14" s="66" t="s">
        <v>101</v>
      </c>
      <c r="C14" s="31">
        <v>3256.3</v>
      </c>
      <c r="D14" s="65"/>
      <c r="E14" s="31">
        <v>37432.83</v>
      </c>
    </row>
    <row r="15" spans="2:5" ht="14.25" hidden="1" customHeight="1" x14ac:dyDescent="0.3">
      <c r="B15" s="14"/>
      <c r="C15" s="62"/>
      <c r="D15" s="14"/>
      <c r="E15" s="62"/>
    </row>
    <row r="16" spans="2:5" x14ac:dyDescent="0.3">
      <c r="B16" s="30" t="s">
        <v>54</v>
      </c>
      <c r="C16" s="31">
        <v>-3136553.83</v>
      </c>
      <c r="D16" s="65"/>
      <c r="E16" s="31">
        <v>-3689992.79</v>
      </c>
    </row>
    <row r="17" spans="2:5" ht="14.25" hidden="1" customHeight="1" x14ac:dyDescent="0.3">
      <c r="B17" s="14"/>
      <c r="C17" s="62"/>
      <c r="D17" s="14"/>
      <c r="E17" s="62"/>
    </row>
    <row r="18" spans="2:5" x14ac:dyDescent="0.3">
      <c r="B18" s="30" t="s">
        <v>55</v>
      </c>
      <c r="C18" s="31">
        <v>-2214089.08</v>
      </c>
      <c r="D18" s="61"/>
      <c r="E18" s="31">
        <f>-2095705.55-37432.83</f>
        <v>-2133138.38</v>
      </c>
    </row>
    <row r="19" spans="2:5" ht="14.25" hidden="1" customHeight="1" x14ac:dyDescent="0.3">
      <c r="B19" s="14"/>
      <c r="C19" s="62"/>
      <c r="D19" s="14"/>
      <c r="E19" s="62"/>
    </row>
    <row r="20" spans="2:5" x14ac:dyDescent="0.3">
      <c r="B20" s="30" t="s">
        <v>56</v>
      </c>
      <c r="C20" s="31">
        <v>-1746978.14</v>
      </c>
      <c r="D20" s="65"/>
      <c r="E20" s="31">
        <v>-1668564.27</v>
      </c>
    </row>
    <row r="21" spans="2:5" ht="14.25" hidden="1" customHeight="1" x14ac:dyDescent="0.3">
      <c r="B21" s="39"/>
      <c r="C21" s="62"/>
      <c r="D21" s="39"/>
      <c r="E21" s="62"/>
    </row>
    <row r="22" spans="2:5" x14ac:dyDescent="0.3">
      <c r="B22" s="30" t="s">
        <v>57</v>
      </c>
      <c r="C22" s="31">
        <v>51096.1</v>
      </c>
      <c r="D22" s="65"/>
      <c r="E22" s="31">
        <v>75577.509999999995</v>
      </c>
    </row>
    <row r="23" spans="2:5" ht="14.25" hidden="1" customHeight="1" x14ac:dyDescent="0.3">
      <c r="B23" s="39"/>
      <c r="C23" s="62"/>
      <c r="D23" s="39"/>
      <c r="E23" s="62"/>
    </row>
    <row r="24" spans="2:5" x14ac:dyDescent="0.3">
      <c r="B24" s="30" t="s">
        <v>58</v>
      </c>
      <c r="C24" s="31">
        <v>0</v>
      </c>
      <c r="D24" s="65"/>
      <c r="E24" s="31">
        <v>0</v>
      </c>
    </row>
    <row r="25" spans="2:5" ht="14.25" hidden="1" customHeight="1" x14ac:dyDescent="0.3">
      <c r="B25" s="14"/>
      <c r="C25" s="62"/>
      <c r="D25" s="14"/>
      <c r="E25" s="62"/>
    </row>
    <row r="26" spans="2:5" x14ac:dyDescent="0.3">
      <c r="B26" s="30" t="s">
        <v>76</v>
      </c>
      <c r="C26" s="31">
        <v>0</v>
      </c>
      <c r="D26" s="61"/>
      <c r="E26" s="31">
        <v>1700.75</v>
      </c>
    </row>
    <row r="27" spans="2:5" ht="14.25" hidden="1" customHeight="1" x14ac:dyDescent="0.3">
      <c r="B27" s="14"/>
      <c r="C27" s="62"/>
      <c r="D27" s="14"/>
      <c r="E27" s="62"/>
    </row>
    <row r="28" spans="2:5" x14ac:dyDescent="0.3">
      <c r="B28" s="28" t="s">
        <v>59</v>
      </c>
      <c r="C28" s="35">
        <f>SUM(C6:C26)</f>
        <v>-693524.45999999892</v>
      </c>
      <c r="D28" s="63"/>
      <c r="E28" s="35">
        <f>SUM(E6:E26)</f>
        <v>-1333980.1500000006</v>
      </c>
    </row>
    <row r="29" spans="2:5" ht="14.25" hidden="1" customHeight="1" x14ac:dyDescent="0.3">
      <c r="B29" s="14"/>
      <c r="C29" s="62"/>
      <c r="D29" s="14"/>
      <c r="E29" s="62"/>
    </row>
    <row r="30" spans="2:5" x14ac:dyDescent="0.3">
      <c r="B30" s="30" t="s">
        <v>60</v>
      </c>
      <c r="C30" s="31">
        <v>365.36</v>
      </c>
      <c r="D30" s="61"/>
      <c r="E30" s="31">
        <v>6285.27</v>
      </c>
    </row>
    <row r="31" spans="2:5" ht="14.25" hidden="1" customHeight="1" x14ac:dyDescent="0.3">
      <c r="B31" s="14"/>
      <c r="C31" s="62"/>
      <c r="D31" s="14"/>
      <c r="E31" s="62"/>
    </row>
    <row r="32" spans="2:5" x14ac:dyDescent="0.3">
      <c r="B32" s="30" t="s">
        <v>61</v>
      </c>
      <c r="C32" s="31">
        <v>-91565.42</v>
      </c>
      <c r="D32" s="61"/>
      <c r="E32" s="31">
        <v>-81399.509999999995</v>
      </c>
    </row>
    <row r="33" spans="2:5" ht="14.25" hidden="1" customHeight="1" x14ac:dyDescent="0.3">
      <c r="B33" s="14"/>
      <c r="C33" s="62"/>
      <c r="D33" s="14"/>
      <c r="E33" s="62"/>
    </row>
    <row r="34" spans="2:5" x14ac:dyDescent="0.3">
      <c r="B34" s="30" t="s">
        <v>62</v>
      </c>
      <c r="C34" s="31">
        <v>-5151.7299999999996</v>
      </c>
      <c r="D34" s="61"/>
      <c r="E34" s="31">
        <v>-48676.32</v>
      </c>
    </row>
    <row r="35" spans="2:5" ht="14.25" hidden="1" customHeight="1" x14ac:dyDescent="0.3">
      <c r="B35" s="39"/>
      <c r="C35" s="62"/>
      <c r="D35" s="39"/>
      <c r="E35" s="62"/>
    </row>
    <row r="36" spans="2:5" x14ac:dyDescent="0.3">
      <c r="B36" s="30" t="s">
        <v>63</v>
      </c>
      <c r="C36" s="31">
        <v>-304.57</v>
      </c>
      <c r="D36" s="61"/>
      <c r="E36" s="31">
        <v>-636.59</v>
      </c>
    </row>
    <row r="37" spans="2:5" ht="14.25" hidden="1" customHeight="1" x14ac:dyDescent="0.3">
      <c r="B37" s="14"/>
      <c r="C37" s="62"/>
      <c r="D37" s="14"/>
      <c r="E37" s="62"/>
    </row>
    <row r="38" spans="2:5" x14ac:dyDescent="0.3">
      <c r="B38" s="28" t="s">
        <v>64</v>
      </c>
      <c r="C38" s="35">
        <f>SUM(C30:C36)</f>
        <v>-96656.36</v>
      </c>
      <c r="D38" s="63"/>
      <c r="E38" s="35">
        <f>SUM(E30:E36)</f>
        <v>-124427.15</v>
      </c>
    </row>
    <row r="39" spans="2:5" ht="25.5" x14ac:dyDescent="0.3">
      <c r="B39" s="30" t="s">
        <v>83</v>
      </c>
      <c r="C39" s="31">
        <v>0</v>
      </c>
      <c r="D39" s="61"/>
      <c r="E39" s="31">
        <v>0</v>
      </c>
    </row>
    <row r="40" spans="2:5" x14ac:dyDescent="0.3">
      <c r="B40" s="28" t="s">
        <v>65</v>
      </c>
      <c r="C40" s="35">
        <f>+C28+C38</f>
        <v>-790180.8199999989</v>
      </c>
      <c r="D40" s="63"/>
      <c r="E40" s="35">
        <f>+E28+E38</f>
        <v>-1458407.3000000005</v>
      </c>
    </row>
    <row r="41" spans="2:5" ht="14.25" hidden="1" customHeight="1" x14ac:dyDescent="0.3">
      <c r="B41" s="14"/>
      <c r="C41" s="62"/>
      <c r="D41" s="14"/>
      <c r="E41" s="62"/>
    </row>
    <row r="42" spans="2:5" ht="15.75" thickBot="1" x14ac:dyDescent="0.35">
      <c r="B42" s="30" t="s">
        <v>70</v>
      </c>
      <c r="C42" s="31">
        <v>-189.04</v>
      </c>
      <c r="D42" s="65"/>
      <c r="E42" s="31">
        <v>-149.24</v>
      </c>
    </row>
    <row r="43" spans="2:5" ht="15.75" hidden="1" thickBot="1" x14ac:dyDescent="0.35">
      <c r="B43" s="14"/>
      <c r="C43" s="62"/>
      <c r="D43" s="14"/>
      <c r="E43" s="62"/>
    </row>
    <row r="44" spans="2:5" ht="9.75" customHeight="1" x14ac:dyDescent="0.3">
      <c r="B44" s="26"/>
      <c r="C44" s="67"/>
      <c r="D44" s="102"/>
      <c r="E44" s="67"/>
    </row>
    <row r="45" spans="2:5" ht="15.75" thickBot="1" x14ac:dyDescent="0.35">
      <c r="B45" s="27" t="s">
        <v>66</v>
      </c>
      <c r="C45" s="37">
        <f>+C40+C42</f>
        <v>-790369.85999999894</v>
      </c>
      <c r="D45" s="103"/>
      <c r="E45" s="37">
        <f>+E40+E42</f>
        <v>-1458556.5400000005</v>
      </c>
    </row>
    <row r="46" spans="2:5" x14ac:dyDescent="0.3">
      <c r="B46" s="68"/>
      <c r="C46" s="69"/>
      <c r="D46" s="68"/>
      <c r="E46" s="68"/>
    </row>
  </sheetData>
  <mergeCells count="2">
    <mergeCell ref="D3:D4"/>
    <mergeCell ref="D44:D4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7"/>
  <sheetViews>
    <sheetView showGridLines="0" tabSelected="1" workbookViewId="0">
      <selection activeCell="B1" sqref="B1"/>
    </sheetView>
  </sheetViews>
  <sheetFormatPr baseColWidth="10" defaultRowHeight="15" x14ac:dyDescent="0.25"/>
  <cols>
    <col min="1" max="1" width="4.85546875" style="4" customWidth="1"/>
    <col min="2" max="2" width="51.140625" style="4" customWidth="1"/>
    <col min="3" max="3" width="12.5703125" style="4" customWidth="1"/>
    <col min="4" max="4" width="12.7109375" style="4" customWidth="1"/>
    <col min="5" max="5" width="9" style="4" customWidth="1"/>
    <col min="6" max="6" width="11" style="4" customWidth="1"/>
    <col min="7" max="16384" width="11.42578125" style="4"/>
  </cols>
  <sheetData>
    <row r="1" spans="2:8" x14ac:dyDescent="0.25">
      <c r="B1" s="57" t="s">
        <v>118</v>
      </c>
    </row>
    <row r="2" spans="2:8" ht="15.75" thickBot="1" x14ac:dyDescent="0.3">
      <c r="B2" s="56" t="s">
        <v>82</v>
      </c>
      <c r="C2" s="70"/>
      <c r="D2" s="70"/>
      <c r="E2" s="70"/>
    </row>
    <row r="3" spans="2:8" x14ac:dyDescent="0.25">
      <c r="B3" s="78" t="s">
        <v>97</v>
      </c>
      <c r="C3" s="104">
        <v>43465</v>
      </c>
      <c r="D3" s="104">
        <v>43100</v>
      </c>
      <c r="E3" s="106" t="s">
        <v>93</v>
      </c>
    </row>
    <row r="4" spans="2:8" ht="15.75" thickBot="1" x14ac:dyDescent="0.3">
      <c r="B4" s="79" t="s">
        <v>115</v>
      </c>
      <c r="C4" s="105"/>
      <c r="D4" s="105"/>
      <c r="E4" s="107"/>
    </row>
    <row r="5" spans="2:8" hidden="1" x14ac:dyDescent="0.25">
      <c r="B5" s="71"/>
      <c r="C5" s="72"/>
      <c r="D5" s="72"/>
      <c r="E5" s="72"/>
    </row>
    <row r="6" spans="2:8" x14ac:dyDescent="0.25">
      <c r="B6" s="73" t="s">
        <v>92</v>
      </c>
      <c r="C6" s="74">
        <f>'PyG Consolidado'!C6</f>
        <v>10522120.470000001</v>
      </c>
      <c r="D6" s="74">
        <f>'PyG Consolidado'!E6</f>
        <v>9710830.7699999996</v>
      </c>
      <c r="E6" s="81">
        <f>+(C6-D6)/D6</f>
        <v>8.3544829398772558E-2</v>
      </c>
    </row>
    <row r="7" spans="2:8" x14ac:dyDescent="0.25">
      <c r="B7" s="73" t="s">
        <v>108</v>
      </c>
      <c r="C7" s="74">
        <f>'PyG Consolidado'!C8</f>
        <v>0</v>
      </c>
      <c r="D7" s="74">
        <f>'PyG Consolidado'!E8</f>
        <v>15490.47</v>
      </c>
      <c r="E7" s="81"/>
      <c r="F7" s="8"/>
    </row>
    <row r="8" spans="2:8" x14ac:dyDescent="0.25">
      <c r="B8" s="73" t="s">
        <v>52</v>
      </c>
      <c r="C8" s="74">
        <f>'PyG Consolidado'!C10</f>
        <v>627732.47999999998</v>
      </c>
      <c r="D8" s="74">
        <f>'PyG Consolidado'!E10</f>
        <v>609943.78</v>
      </c>
      <c r="E8" s="81">
        <f>+(C8-D8)/D8</f>
        <v>2.9164491192942326E-2</v>
      </c>
      <c r="F8" s="8"/>
      <c r="G8" s="7"/>
    </row>
    <row r="9" spans="2:8" x14ac:dyDescent="0.25">
      <c r="B9" s="73" t="s">
        <v>53</v>
      </c>
      <c r="C9" s="74">
        <f>'PyG Consolidado'!C12</f>
        <v>-4800108.76</v>
      </c>
      <c r="D9" s="74">
        <f>'PyG Consolidado'!E12</f>
        <v>-4293260.82</v>
      </c>
      <c r="E9" s="81">
        <f>+(C9-D9)/D9</f>
        <v>0.11805663835722877</v>
      </c>
      <c r="F9" s="8"/>
    </row>
    <row r="10" spans="2:8" x14ac:dyDescent="0.25">
      <c r="B10" s="88" t="s">
        <v>84</v>
      </c>
      <c r="C10" s="89">
        <f>-C9/C6</f>
        <v>0.45619215002201924</v>
      </c>
      <c r="D10" s="89">
        <f>-D9/D6</f>
        <v>0.44211055899185447</v>
      </c>
      <c r="E10" s="82"/>
    </row>
    <row r="11" spans="2:8" x14ac:dyDescent="0.25">
      <c r="B11" s="80" t="s">
        <v>113</v>
      </c>
      <c r="C11" s="87">
        <v>-430282</v>
      </c>
      <c r="D11" s="87">
        <v>-438660</v>
      </c>
      <c r="E11" s="82"/>
    </row>
    <row r="12" spans="2:8" x14ac:dyDescent="0.25">
      <c r="B12" s="80" t="s">
        <v>117</v>
      </c>
      <c r="C12" s="87">
        <f>C9-C11</f>
        <v>-4369826.76</v>
      </c>
      <c r="D12" s="87">
        <f>D9-D11</f>
        <v>-3854600.8200000003</v>
      </c>
      <c r="E12" s="82"/>
    </row>
    <row r="13" spans="2:8" x14ac:dyDescent="0.25">
      <c r="B13" s="76" t="s">
        <v>91</v>
      </c>
      <c r="C13" s="77">
        <f>+C6+C9+C7+C8</f>
        <v>6349744.1900000013</v>
      </c>
      <c r="D13" s="77">
        <f>+D6+D9+D7+D8</f>
        <v>6043004.1999999993</v>
      </c>
      <c r="E13" s="83">
        <f>+(C13-D13)/D13</f>
        <v>5.0759519578027455E-2</v>
      </c>
    </row>
    <row r="14" spans="2:8" x14ac:dyDescent="0.25">
      <c r="B14" s="90" t="s">
        <v>84</v>
      </c>
      <c r="C14" s="91">
        <f>C13/C6</f>
        <v>0.6034662127376309</v>
      </c>
      <c r="D14" s="91">
        <f>D13/D6</f>
        <v>0.62229528483483187</v>
      </c>
      <c r="E14" s="84"/>
      <c r="H14" s="6"/>
    </row>
    <row r="15" spans="2:8" x14ac:dyDescent="0.25">
      <c r="B15" s="73" t="s">
        <v>54</v>
      </c>
      <c r="C15" s="74">
        <f>'PyG Consolidado'!C16</f>
        <v>-3136553.83</v>
      </c>
      <c r="D15" s="74">
        <f>'PyG Consolidado'!E16</f>
        <v>-3689992.79</v>
      </c>
      <c r="E15" s="81">
        <f>+(C15-D15)/D15</f>
        <v>-0.14998375105226153</v>
      </c>
      <c r="G15" s="7"/>
    </row>
    <row r="16" spans="2:8" x14ac:dyDescent="0.25">
      <c r="B16" s="88" t="s">
        <v>84</v>
      </c>
      <c r="C16" s="89">
        <f>-C15/C6</f>
        <v>0.29809141978014247</v>
      </c>
      <c r="D16" s="89">
        <f>-D15/D6</f>
        <v>0.37998734376049687</v>
      </c>
      <c r="E16" s="82"/>
    </row>
    <row r="17" spans="2:8" x14ac:dyDescent="0.25">
      <c r="B17" s="80" t="s">
        <v>110</v>
      </c>
      <c r="C17" s="87">
        <v>-722022</v>
      </c>
      <c r="D17" s="87">
        <v>-825732</v>
      </c>
      <c r="E17" s="81"/>
    </row>
    <row r="18" spans="2:8" x14ac:dyDescent="0.25">
      <c r="B18" s="80" t="s">
        <v>109</v>
      </c>
      <c r="C18" s="87">
        <v>-325516</v>
      </c>
      <c r="D18" s="87">
        <v>-306648</v>
      </c>
      <c r="E18" s="82"/>
    </row>
    <row r="19" spans="2:8" x14ac:dyDescent="0.25">
      <c r="B19" s="80" t="s">
        <v>111</v>
      </c>
      <c r="C19" s="87">
        <f>C15-C18-C17</f>
        <v>-2089015.83</v>
      </c>
      <c r="D19" s="87">
        <f>D15-D18-D17</f>
        <v>-2557612.79</v>
      </c>
      <c r="E19" s="82"/>
    </row>
    <row r="20" spans="2:8" x14ac:dyDescent="0.25">
      <c r="B20" s="73" t="s">
        <v>55</v>
      </c>
      <c r="C20" s="74">
        <f>'PyG Consolidado'!C18+'PyG Consolidado'!C14</f>
        <v>-2210832.7800000003</v>
      </c>
      <c r="D20" s="74">
        <f>'PyG Consolidado'!E18+'PyG Consolidado'!E14+'PyG Consolidado'!E26</f>
        <v>-2094004.7999999998</v>
      </c>
      <c r="E20" s="81">
        <f>+(C20-D20)/D20</f>
        <v>5.5791648615132333E-2</v>
      </c>
      <c r="F20" s="8"/>
      <c r="G20" s="7"/>
    </row>
    <row r="21" spans="2:8" x14ac:dyDescent="0.25">
      <c r="B21" s="88" t="s">
        <v>84</v>
      </c>
      <c r="C21" s="89">
        <f>-C20/C6</f>
        <v>0.21011285570274413</v>
      </c>
      <c r="D21" s="89">
        <f>-D20/D6</f>
        <v>0.21563600989413595</v>
      </c>
      <c r="E21" s="82"/>
    </row>
    <row r="22" spans="2:8" x14ac:dyDescent="0.25">
      <c r="B22" s="80" t="s">
        <v>112</v>
      </c>
      <c r="C22" s="87">
        <v>-786730</v>
      </c>
      <c r="D22" s="87">
        <v>-629506</v>
      </c>
      <c r="E22" s="81"/>
    </row>
    <row r="23" spans="2:8" x14ac:dyDescent="0.25">
      <c r="B23" s="80" t="s">
        <v>113</v>
      </c>
      <c r="C23" s="87">
        <v>-125162</v>
      </c>
      <c r="D23" s="87">
        <v>-135892</v>
      </c>
      <c r="E23" s="81"/>
    </row>
    <row r="24" spans="2:8" x14ac:dyDescent="0.25">
      <c r="B24" s="80" t="s">
        <v>114</v>
      </c>
      <c r="C24" s="87">
        <f>C20-C23-C22</f>
        <v>-1298940.7800000003</v>
      </c>
      <c r="D24" s="87">
        <f>D20-D23-D22</f>
        <v>-1328606.7999999998</v>
      </c>
      <c r="E24" s="82"/>
    </row>
    <row r="25" spans="2:8" x14ac:dyDescent="0.25">
      <c r="B25" s="76" t="s">
        <v>90</v>
      </c>
      <c r="C25" s="77">
        <f>+C13++C15+C20</f>
        <v>1002357.580000001</v>
      </c>
      <c r="D25" s="77">
        <f>+D13++D15+D20</f>
        <v>259006.6099999994</v>
      </c>
      <c r="E25" s="83">
        <f>+(C25-D25)/D25</f>
        <v>2.8700077191080311</v>
      </c>
    </row>
    <row r="26" spans="2:8" x14ac:dyDescent="0.25">
      <c r="B26" s="90" t="s">
        <v>84</v>
      </c>
      <c r="C26" s="91">
        <f>C25/C6</f>
        <v>9.5261937254744328E-2</v>
      </c>
      <c r="D26" s="91">
        <f>D25/D6</f>
        <v>2.6671931180199056E-2</v>
      </c>
      <c r="E26" s="84"/>
      <c r="H26" s="6"/>
    </row>
    <row r="27" spans="2:8" x14ac:dyDescent="0.25">
      <c r="B27" s="73" t="s">
        <v>56</v>
      </c>
      <c r="C27" s="74">
        <f>'PyG Consolidado'!C20</f>
        <v>-1746978.14</v>
      </c>
      <c r="D27" s="74">
        <f>'PyG Consolidado'!E20</f>
        <v>-1668564.27</v>
      </c>
      <c r="E27" s="81">
        <f>+(C27-D27)/D27</f>
        <v>4.6994815488887266E-2</v>
      </c>
    </row>
    <row r="28" spans="2:8" x14ac:dyDescent="0.25">
      <c r="B28" s="73" t="s">
        <v>122</v>
      </c>
      <c r="C28" s="74">
        <f>'PyG Consolidado'!C22</f>
        <v>51096.1</v>
      </c>
      <c r="D28" s="74">
        <f>'PyG Consolidado'!E22</f>
        <v>75577.509999999995</v>
      </c>
      <c r="E28" s="81"/>
    </row>
    <row r="29" spans="2:8" x14ac:dyDescent="0.25">
      <c r="B29" s="73" t="s">
        <v>89</v>
      </c>
      <c r="C29" s="74">
        <f>+C25+C27+C28</f>
        <v>-693524.45999999892</v>
      </c>
      <c r="D29" s="74">
        <f>+D25+D27+D28</f>
        <v>-1333980.1500000006</v>
      </c>
      <c r="E29" s="81">
        <f>-(C29-D29)/D29</f>
        <v>0.48010886069031944</v>
      </c>
    </row>
    <row r="30" spans="2:8" x14ac:dyDescent="0.25">
      <c r="B30" s="73" t="s">
        <v>88</v>
      </c>
      <c r="C30" s="74">
        <f>'PyG Consolidado'!C38</f>
        <v>-96656.36</v>
      </c>
      <c r="D30" s="74">
        <f>'PyG Consolidado'!E38</f>
        <v>-124427.15</v>
      </c>
      <c r="E30" s="81">
        <f>+(C30-D30)/D30</f>
        <v>-0.22318915124231323</v>
      </c>
    </row>
    <row r="31" spans="2:8" hidden="1" x14ac:dyDescent="0.25">
      <c r="B31" s="73" t="s">
        <v>87</v>
      </c>
      <c r="C31" s="74">
        <f>'PyG Consolidado'!C39</f>
        <v>0</v>
      </c>
      <c r="D31" s="74">
        <f>'PyG Consolidado'!E39</f>
        <v>0</v>
      </c>
      <c r="E31" s="81"/>
    </row>
    <row r="32" spans="2:8" x14ac:dyDescent="0.25">
      <c r="B32" s="73" t="s">
        <v>86</v>
      </c>
      <c r="C32" s="74">
        <f>+C29+C30+C31</f>
        <v>-790180.8199999989</v>
      </c>
      <c r="D32" s="74">
        <f>+D29+D30+D31</f>
        <v>-1458407.3000000005</v>
      </c>
      <c r="E32" s="81">
        <f>-(C32-D32)/D32</f>
        <v>0.45818920407214181</v>
      </c>
    </row>
    <row r="33" spans="2:5" x14ac:dyDescent="0.25">
      <c r="B33" s="73" t="s">
        <v>70</v>
      </c>
      <c r="C33" s="75">
        <v>-189.04</v>
      </c>
      <c r="D33" s="75">
        <v>-149.24</v>
      </c>
      <c r="E33" s="81"/>
    </row>
    <row r="34" spans="2:5" s="5" customFormat="1" ht="12.75" x14ac:dyDescent="0.2">
      <c r="B34" s="76" t="s">
        <v>85</v>
      </c>
      <c r="C34" s="77">
        <f>+C32+C33</f>
        <v>-790369.85999999894</v>
      </c>
      <c r="D34" s="77">
        <f>+D32+D33</f>
        <v>-1458556.5400000005</v>
      </c>
      <c r="E34" s="83">
        <f>-(C34-D34)/D34</f>
        <v>0.45811503474524295</v>
      </c>
    </row>
    <row r="35" spans="2:5" ht="6" customHeight="1" thickBot="1" x14ac:dyDescent="0.3">
      <c r="B35" s="85"/>
      <c r="C35" s="86"/>
      <c r="D35" s="86"/>
      <c r="E35" s="86"/>
    </row>
    <row r="36" spans="2:5" ht="3" customHeight="1" x14ac:dyDescent="0.25"/>
    <row r="37" spans="2:5" x14ac:dyDescent="0.25">
      <c r="B37" s="76" t="s">
        <v>116</v>
      </c>
      <c r="C37" s="77">
        <f>C25+C28</f>
        <v>1053453.6800000011</v>
      </c>
      <c r="D37" s="77">
        <f>D25+D28</f>
        <v>334584.11999999941</v>
      </c>
    </row>
  </sheetData>
  <mergeCells count="3">
    <mergeCell ref="D3:D4"/>
    <mergeCell ref="C3:C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BS Consolidado</vt:lpstr>
      <vt:lpstr>PyG Consolidado</vt:lpstr>
      <vt:lpstr>PyG Negocio</vt:lpstr>
    </vt:vector>
  </TitlesOfParts>
  <Company>BDO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Xavi Casajoana</cp:lastModifiedBy>
  <cp:lastPrinted>2018-04-24T16:58:46Z</cp:lastPrinted>
  <dcterms:created xsi:type="dcterms:W3CDTF">2017-02-22T12:22:38Z</dcterms:created>
  <dcterms:modified xsi:type="dcterms:W3CDTF">2019-04-28T22:44:46Z</dcterms:modified>
</cp:coreProperties>
</file>